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51"/>
  <workbookPr codeName="EstaPasta_de_trabalho"/>
  <bookViews>
    <workbookView xWindow="5955" yWindow="65521" windowWidth="6000" windowHeight="7260" activeTab="0"/>
  </bookViews>
  <sheets>
    <sheet name="Plan1" sheetId="1" r:id="rId1"/>
  </sheets>
  <definedNames/>
  <calcPr fullCalcOnLoad="1" iterate="1" iterateCount="100" iterateDelta="1000001"/>
</workbook>
</file>

<file path=xl/comments1.xml><?xml version="1.0" encoding="utf-8"?>
<comments xmlns="http://schemas.openxmlformats.org/spreadsheetml/2006/main">
  <authors>
    <author>Zenio</author>
  </authors>
  <commentList>
    <comment ref="A1" authorId="0">
      <text>
        <r>
          <rPr>
            <b/>
            <sz val="6"/>
            <color indexed="10"/>
            <rFont val="Tahoma"/>
            <family val="2"/>
          </rPr>
          <t xml:space="preserve">ATENÇÃO ! </t>
        </r>
        <r>
          <rPr>
            <sz val="6"/>
            <color indexed="8"/>
            <rFont val="Tahoma"/>
            <family val="2"/>
          </rPr>
          <t>-</t>
        </r>
        <r>
          <rPr>
            <b/>
            <sz val="6"/>
            <color indexed="8"/>
            <rFont val="Tahoma"/>
            <family val="2"/>
          </rPr>
          <t xml:space="preserve"> INSERIR DADOS APENAS NAS CÉLULAS DE SOMBREAMENTO CINZA !
                  - DEVIDO AO TAMANHO DAS FÓRMULAS, RECOMENDA-SE OCULTAR A BARRA DE FÓRMULAS, PARA QUE A MESMA NÃO PREJUDIQUE A VISUALIZAÇÃO DA PLANILHA; PARA FAZER ISTO, CLIQUE EM "EXIBIR" NA BARRA SUPERIOR DO EXCEL E CLIQUE  EM "BARRA DE FÓRMULAS".</t>
        </r>
        <r>
          <rPr>
            <sz val="6"/>
            <color indexed="8"/>
            <rFont val="Tahoma"/>
            <family val="2"/>
          </rPr>
          <t xml:space="preserve">
</t>
        </r>
        <r>
          <rPr>
            <b/>
            <sz val="6"/>
            <color indexed="8"/>
            <rFont val="Tahoma"/>
            <family val="2"/>
          </rPr>
          <t>PARA FORMATAR SUA PLANILHA:</t>
        </r>
        <r>
          <rPr>
            <sz val="6"/>
            <color indexed="8"/>
            <rFont val="Tahoma"/>
            <family val="2"/>
          </rPr>
          <t xml:space="preserve">
- ENUMERE TODAS AS IRRADIAÇÕES DA CADERNETA DE CAMPO. (NA CADERNETA)
-PREENCHA O CABEÇALHO (PARTES SOMBREADAS). (NA PLANILHA)
-VERIFIQUE O NÚMERO DE ESTACAS DO SEU LEVANTAMENTO E EXCLUA AS LINHAS QUE VOCÊ NÃO IRÁ UTILIZAR (PARA ISTO, SELECIONE AS LINHAS DE ESTACAS E IRRADIAÇÕES EXCEDENTES, CLIQUE C/ O BOTÃO DIREITO DO MOUSE, E CLIQUE EM EXCLUIR) OBS: NÃO EXCLUA O RODAPÉ !
-PARA </t>
        </r>
        <r>
          <rPr>
            <b/>
            <u val="single"/>
            <sz val="6"/>
            <color indexed="8"/>
            <rFont val="Tahoma"/>
            <family val="2"/>
          </rPr>
          <t>INSERIR IRRADIAÇÕES</t>
        </r>
        <r>
          <rPr>
            <sz val="6"/>
            <color indexed="8"/>
            <rFont val="Tahoma"/>
            <family val="2"/>
          </rPr>
          <t xml:space="preserve">, SELECIONE A LINHA </t>
        </r>
        <r>
          <rPr>
            <u val="single"/>
            <sz val="6"/>
            <color indexed="8"/>
            <rFont val="Tahoma"/>
            <family val="2"/>
          </rPr>
          <t>ABAIXO</t>
        </r>
        <r>
          <rPr>
            <sz val="6"/>
            <color indexed="8"/>
            <rFont val="Tahoma"/>
            <family val="2"/>
          </rPr>
          <t xml:space="preserve"> DE ONDE VOCÊ DESEJA INSERIR, CLIQUE C/ O BOTÃO DIREITO DO MOUSE E CLIQUE EM INSERIR.(PARA REPETIR A OPERAÇÃO, TECLE "F4"), EM SEGUIDA, SELECIONE A LINHA DA IRRADIAÇÃO EXISTENTE (1), POSICIONE O CURSOR NO CANTO INFERIOR ESQUERDO DA LINHA ATÉ APARECER O SINAL " </t>
        </r>
        <r>
          <rPr>
            <sz val="8"/>
            <color indexed="8"/>
            <rFont val="Tahoma"/>
            <family val="2"/>
          </rPr>
          <t>+</t>
        </r>
        <r>
          <rPr>
            <sz val="6"/>
            <color indexed="8"/>
            <rFont val="Tahoma"/>
            <family val="2"/>
          </rPr>
          <t xml:space="preserve">", APERTE O BOTÃO ESQUERDO DO MOUSE E ARRASTE ATÉ PREENCHER AS LINHAS INSERIDAS.
-PARA </t>
        </r>
        <r>
          <rPr>
            <b/>
            <u val="single"/>
            <sz val="6"/>
            <color indexed="8"/>
            <rFont val="Tahoma"/>
            <family val="2"/>
          </rPr>
          <t>EXCLUIR IRRADIAÇÕES</t>
        </r>
        <r>
          <rPr>
            <sz val="6"/>
            <color indexed="8"/>
            <rFont val="Tahoma"/>
            <family val="2"/>
          </rPr>
          <t xml:space="preserve">, SELECIONE A LINHA, CLIQUE C/ O BOTÃO DIREITO DO MOUSE E CLIQUE EM EXCLUIR.
</t>
        </r>
        <r>
          <rPr>
            <b/>
            <sz val="6"/>
            <color indexed="8"/>
            <rFont val="Tahoma"/>
            <family val="2"/>
          </rPr>
          <t>EXPORTANDO SUAS COORDENADAS PARA O AUTOCAD.</t>
        </r>
        <r>
          <rPr>
            <sz val="6"/>
            <color indexed="8"/>
            <rFont val="Tahoma"/>
            <family val="2"/>
          </rPr>
          <t xml:space="preserve">
A COLUNA (AA), COM SOMBREAMENTO VERDE, PODERÁ SER ALTERADA PARA (AB) "ALTIMETRIA" (X Y Z), PARA ISTO, BASTA DIGITAR "Ctrl </t>
        </r>
        <r>
          <rPr>
            <sz val="8"/>
            <color indexed="8"/>
            <rFont val="Tahoma"/>
            <family val="2"/>
          </rPr>
          <t>+</t>
        </r>
        <r>
          <rPr>
            <sz val="6"/>
            <color indexed="8"/>
            <rFont val="Tahoma"/>
            <family val="2"/>
          </rPr>
          <t xml:space="preserve">A", PARA RETORNAR PARA (AA) "PLANIMETRIA" (X Y), DIGITE "Ctrl </t>
        </r>
        <r>
          <rPr>
            <sz val="8"/>
            <color indexed="8"/>
            <rFont val="Tahoma"/>
            <family val="2"/>
          </rPr>
          <t>+</t>
        </r>
        <r>
          <rPr>
            <sz val="6"/>
            <color indexed="8"/>
            <rFont val="Tahoma"/>
            <family val="2"/>
          </rPr>
          <t xml:space="preserve">P"; EM QUALQUER DAS OPÇÕES MENCIONADAS, (PLANIMETRIA OU ALTIMETRIA), A EXPORTAÇÃO PARA O AUTOCAD SE FAZ DA SEGUINTE FORMA:
SELECIONE OS VALORES SOMBREADOS EM VERDE, CLIQUE EM "COPIAR" OU "COPY", ABRA O AUTOCAD, ACIONE O COMANDO POINT, VÁ A FAIXA DE COMANDOS NA BASE INFERIOR DO AUTOCAD, CLIQUE C/ O BOTÃO DIREITO DO MOUSE E CLIQUE EM "COLAR" OU "PASTE", EM SEGUIDA, ACIONE O COMANDO "ZOOM REALTIME" OU "ZOOM EM TEMPO REAL" CLIQUE COM O BOTÃO DIREITO  DO MOUSE NA TELA DO AUTOCAD E CLIQUE EM "ZOOM EXTENTS" OU "ZOOM TOTAL". CASO QUEIRA VISUALIZAR O LANÇAMENTO DOS PONTOS, APAGUE-OS DA TELA E REPITA A "COLAGEM" NA BARRA DE COMANDOS DO AUTOCAD.
SUAS COORDENADAS SERÃO LANÇADAS NA TELA DO AUTOCAD NUMA FRAÇÃO DE SEGUNDOS E CASO VOCÊ TENHA COPIADO AS COORDENADAS DA COLUNA (ALTIMETRIA), AS MESMAS SERÃO LANÇADAS EM TERCEIRA DIMENSSÃO OU SEJA (X, Y e Z) ONDE "Z" REPRESENTA A ALTITUDE DO PONTO.
ESTA PLANILHA ESTÁ PROTEGIDA CONTRA GRAVAÇÃO PARA PRESERVAR AS FÓRMULAS, PORTANTO, QUANDO VOCÊ FOR SALVAR SEU TRABALHO ELA IRÁ PEDIR QUE DIGITE OUTRO NOME. A FINALIDADE DESTA PROTEÇÃO É RESGUARDAR SUA PLANILHA PARA QUE A MESMA POSSA SER UTILIZADA QUANTAS VEZES FOR NECESSÁRIO.
</t>
        </r>
        <r>
          <rPr>
            <b/>
            <sz val="6"/>
            <color indexed="8"/>
            <rFont val="Tahoma"/>
            <family val="2"/>
          </rPr>
          <t xml:space="preserve">NO CASO DE ALGUMA DÚVIDA, ENTRE EM CONTATO:
TEL. (0XX37) 3243 42 97   -  </t>
        </r>
        <r>
          <rPr>
            <b/>
            <sz val="8"/>
            <color indexed="8"/>
            <rFont val="Tahoma"/>
            <family val="2"/>
          </rPr>
          <t>zenio@nwnet.com.br</t>
        </r>
      </text>
    </comment>
    <comment ref="C3" authorId="0">
      <text>
        <r>
          <rPr>
            <sz val="6"/>
            <color indexed="8"/>
            <rFont val="Tahoma"/>
            <family val="2"/>
          </rPr>
          <t xml:space="preserve">INSIRA O </t>
        </r>
        <r>
          <rPr>
            <b/>
            <u val="single"/>
            <sz val="6"/>
            <color indexed="8"/>
            <rFont val="Tahoma"/>
            <family val="2"/>
          </rPr>
          <t>NÚMERO DE ESTACAS</t>
        </r>
        <r>
          <rPr>
            <sz val="6"/>
            <color indexed="8"/>
            <rFont val="Tahoma"/>
            <family val="2"/>
          </rPr>
          <t>. (NÃO ESQUECER DE CONTAR A ESTACA "0")
 Ex: SE SEU TRABALHO VAI DA ESTACA "0" À "20", SERÃO "21" ESTACAS</t>
        </r>
        <r>
          <rPr>
            <sz val="6"/>
            <rFont val="Tahoma"/>
            <family val="2"/>
          </rPr>
          <t xml:space="preserve">
</t>
        </r>
      </text>
    </comment>
    <comment ref="E3" authorId="0">
      <text>
        <r>
          <rPr>
            <sz val="6"/>
            <color indexed="8"/>
            <rFont val="Tahoma"/>
            <family val="2"/>
          </rPr>
          <t xml:space="preserve">INSIRA O </t>
        </r>
        <r>
          <rPr>
            <b/>
            <u val="single"/>
            <sz val="6"/>
            <color indexed="8"/>
            <rFont val="Tahoma"/>
            <family val="2"/>
          </rPr>
          <t>AZIMUTE</t>
        </r>
        <r>
          <rPr>
            <sz val="6"/>
            <color indexed="8"/>
            <rFont val="Tahoma"/>
            <family val="2"/>
          </rPr>
          <t xml:space="preserve"> DE PARTIDA OU UM AZIMUTE ARBITRÁRIO. (USE NO MÁXIMO 4 CASAS DEPOIS DA VÍRGULA) Ex: 150g 30m e 20s = 150,3020.</t>
        </r>
        <r>
          <rPr>
            <sz val="6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u val="single"/>
            <sz val="6"/>
            <color indexed="8"/>
            <rFont val="Tahoma"/>
            <family val="2"/>
          </rPr>
          <t>INSERINDO "0"</t>
        </r>
        <r>
          <rPr>
            <sz val="6"/>
            <color indexed="8"/>
            <rFont val="Tahoma"/>
            <family val="2"/>
          </rPr>
          <t xml:space="preserve">, SUA PLANILHA NÃO EFETUARÁ A DISTRIBUIÇÃO DE ERROS E NA BASE DA MESMA VOCÊ TERÁ A DISTÂNCIA DO CAMINHAMENTO.
</t>
        </r>
        <r>
          <rPr>
            <b/>
            <u val="single"/>
            <sz val="6"/>
            <color indexed="8"/>
            <rFont val="Tahoma"/>
            <family val="2"/>
          </rPr>
          <t>INSERINDO  "1"</t>
        </r>
        <r>
          <rPr>
            <sz val="6"/>
            <color indexed="8"/>
            <rFont val="Tahoma"/>
            <family val="2"/>
          </rPr>
          <t>, A PLANILHA FARÁ A DISTRIBUIÇÃO DO ERRO ANGULAR E LINEAR E OS APRESENTARÁ EM SUA  BASE ALÉM DO PERÍMETRO DO ESTAQUEAMENTO.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sz val="6"/>
            <color indexed="8"/>
            <rFont val="Tahoma"/>
            <family val="2"/>
          </rPr>
          <t xml:space="preserve">INSIRA A </t>
        </r>
        <r>
          <rPr>
            <b/>
            <u val="single"/>
            <sz val="6"/>
            <color indexed="8"/>
            <rFont val="Tahoma"/>
            <family val="2"/>
          </rPr>
          <t>COTA ALTIMÉTRICA</t>
        </r>
        <r>
          <rPr>
            <sz val="6"/>
            <color indexed="8"/>
            <rFont val="Tahoma"/>
            <family val="2"/>
          </rPr>
          <t xml:space="preserve"> DE PARTIDA (COTA DE "P-0") OU UMA COTA ARBITRÁRIA. (USE NO MÁXIMO 3 CASAS DECIMAIS DEPOIS DA VÍRGULA)</t>
        </r>
        <r>
          <rPr>
            <sz val="6"/>
            <rFont val="Tahoma"/>
            <family val="2"/>
          </rPr>
          <t xml:space="preserve">
</t>
        </r>
      </text>
    </comment>
    <comment ref="H6" authorId="0">
      <text>
        <r>
          <rPr>
            <sz val="6"/>
            <color indexed="8"/>
            <rFont val="Tahoma"/>
            <family val="2"/>
          </rPr>
          <t xml:space="preserve">O APARELHO </t>
        </r>
        <r>
          <rPr>
            <b/>
            <u val="single"/>
            <sz val="6"/>
            <color indexed="8"/>
            <rFont val="Tahoma"/>
            <family val="2"/>
          </rPr>
          <t>(NADIRAL)</t>
        </r>
        <r>
          <rPr>
            <sz val="6"/>
            <color indexed="8"/>
            <rFont val="Tahoma"/>
            <family val="2"/>
          </rPr>
          <t xml:space="preserve">, REPRESENTA TODOS OS APRELHOS NOS QUAIS SE LÊ 270 GRAUS COM A LUNETA NA POSIÇÃO HORIZONTAL E O  </t>
        </r>
        <r>
          <rPr>
            <b/>
            <u val="single"/>
            <sz val="6"/>
            <color indexed="8"/>
            <rFont val="Tahoma"/>
            <family val="2"/>
          </rPr>
          <t>(ZENITAL)</t>
        </r>
        <r>
          <rPr>
            <sz val="6"/>
            <color indexed="8"/>
            <rFont val="Tahoma"/>
            <family val="2"/>
          </rPr>
          <t xml:space="preserve"> OS APARELHOS NOS QUAIS SE LÊ 90 GRAUS COM A LUNETA NA POSIÇÃO  HORIZONTAL.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sz val="6"/>
            <color indexed="8"/>
            <rFont val="Tahoma"/>
            <family val="2"/>
          </rPr>
          <t>CASO SEU LEVANTAMENTO SEJA EXCLUSIVAMENTE PLANIMÉTRICO, USE UMA (</t>
        </r>
        <r>
          <rPr>
            <b/>
            <sz val="6"/>
            <color indexed="8"/>
            <rFont val="Tahoma"/>
            <family val="2"/>
          </rPr>
          <t>ALTURA DO APARELHO</t>
        </r>
        <r>
          <rPr>
            <sz val="6"/>
            <color indexed="8"/>
            <rFont val="Tahoma"/>
            <family val="2"/>
          </rPr>
          <t>) ARBITRÁRIA PARA ESTA COLUNA.
(DIGITE A ALTURA EM METROS E USE NO MÁXIMO 3 CASAS DECIMAIS DEPOIS DA VÍRGULA)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6"/>
            <color indexed="8"/>
            <rFont val="Tahoma"/>
            <family val="2"/>
          </rPr>
          <t xml:space="preserve">DIGITE A LEITURA DO </t>
        </r>
        <r>
          <rPr>
            <b/>
            <sz val="6"/>
            <color indexed="8"/>
            <rFont val="Tahoma"/>
            <family val="2"/>
          </rPr>
          <t>FIO INFERIOR</t>
        </r>
        <r>
          <rPr>
            <sz val="6"/>
            <color indexed="8"/>
            <rFont val="Tahoma"/>
            <family val="2"/>
          </rPr>
          <t>, CASO VOCÊ NÃO TENHA ESTA LEITURA DIJITE "0".</t>
        </r>
      </text>
    </comment>
    <comment ref="E8" authorId="0">
      <text>
        <r>
          <rPr>
            <sz val="6"/>
            <color indexed="8"/>
            <rFont val="Tahoma"/>
            <family val="2"/>
          </rPr>
          <t xml:space="preserve">DIGITE A LEITURA DO </t>
        </r>
        <r>
          <rPr>
            <b/>
            <sz val="6"/>
            <color indexed="8"/>
            <rFont val="Tahoma"/>
            <family val="2"/>
          </rPr>
          <t>FIO MÉDIO</t>
        </r>
        <r>
          <rPr>
            <sz val="6"/>
            <color indexed="8"/>
            <rFont val="Tahoma"/>
            <family val="2"/>
          </rPr>
          <t>, CASO VOCÊ NÃO TENHA ESTA LEITURA DIJITE "0".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6"/>
            <color indexed="8"/>
            <rFont val="Tahoma"/>
            <family val="2"/>
          </rPr>
          <t xml:space="preserve">DIGITE A LEITURA DO </t>
        </r>
        <r>
          <rPr>
            <b/>
            <sz val="6"/>
            <color indexed="8"/>
            <rFont val="Tahoma"/>
            <family val="2"/>
          </rPr>
          <t>FIO SUPERIOR</t>
        </r>
        <r>
          <rPr>
            <sz val="6"/>
            <color indexed="8"/>
            <rFont val="Tahoma"/>
            <family val="2"/>
          </rPr>
          <t>, CASO VOCÊ NÃO TENHA ESTA LEITURA DIJITE "0".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6"/>
            <color indexed="8"/>
            <rFont val="Tahoma"/>
            <family val="2"/>
          </rPr>
          <t xml:space="preserve">DIGITE OS </t>
        </r>
        <r>
          <rPr>
            <b/>
            <sz val="6"/>
            <color indexed="8"/>
            <rFont val="Tahoma"/>
            <family val="2"/>
          </rPr>
          <t>ANGULOS HORIZONTAIS</t>
        </r>
        <r>
          <rPr>
            <sz val="6"/>
            <color indexed="8"/>
            <rFont val="Tahoma"/>
            <family val="2"/>
          </rPr>
          <t xml:space="preserve"> EM GRAUS MINUTOS E SEGUNDOS. EX: PARA 150 GRAUS 30 MINUTOS E VINTE SEGUNDOS, DIGITE 150,3020.
(USE NO MÁXIMO 4 CASAS DECIMAIS DEPOIS DA VÍRGULA)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6"/>
            <color indexed="8"/>
            <rFont val="Tahoma"/>
            <family val="2"/>
          </rPr>
          <t xml:space="preserve">DIGITE OS </t>
        </r>
        <r>
          <rPr>
            <b/>
            <sz val="6"/>
            <color indexed="8"/>
            <rFont val="Tahoma"/>
            <family val="2"/>
          </rPr>
          <t>ANGULOS VERTICAIS</t>
        </r>
        <r>
          <rPr>
            <sz val="6"/>
            <color indexed="8"/>
            <rFont val="Tahoma"/>
            <family val="2"/>
          </rPr>
          <t xml:space="preserve"> EM GRAUS MINUTOS E SEGUNDOS. EX: PARA 150 GRAUS 30 MINUTOS E VINTE SEGUNDOS, DIGITE 150,3020.
(USE NO MÁXIMO 4 CASAS DECIMAIS DEPOIS DA VÍRGULA)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6"/>
            <color indexed="8"/>
            <rFont val="Tahoma"/>
            <family val="2"/>
          </rPr>
          <t xml:space="preserve">DIGITE NESTA COLUNA TODAS AS </t>
        </r>
        <r>
          <rPr>
            <b/>
            <sz val="6"/>
            <color indexed="8"/>
            <rFont val="Tahoma"/>
            <family val="2"/>
          </rPr>
          <t>OBSERVAÇÕES</t>
        </r>
        <r>
          <rPr>
            <sz val="6"/>
            <color indexed="8"/>
            <rFont val="Tahoma"/>
            <family val="2"/>
          </rPr>
          <t xml:space="preserve"> NECESSÁRIAS AO BOM ENTENDIMENTO DO SERVIÇO EX: CERCA, CÓRREGO, ESTRADA, ÁRVORE, ETC.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6"/>
            <color indexed="8"/>
            <rFont val="Tahoma"/>
            <family val="2"/>
          </rPr>
          <t>NO CAMPO ABAIXO, (SOMBREADO), VOCÊ IRÁ DIGITAR TODOS OS DADOS OBTIDOS NO CAMPO, INCLUSIVE AS OBSERVAÇÕES.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6"/>
            <color indexed="8"/>
            <rFont val="Tahoma"/>
            <family val="2"/>
          </rPr>
          <t xml:space="preserve">DIGITE A </t>
        </r>
        <r>
          <rPr>
            <b/>
            <u val="single"/>
            <sz val="6"/>
            <color indexed="8"/>
            <rFont val="Tahoma"/>
            <family val="2"/>
          </rPr>
          <t>COORDENADA "X"</t>
        </r>
        <r>
          <rPr>
            <sz val="6"/>
            <color indexed="8"/>
            <rFont val="Tahoma"/>
            <family val="2"/>
          </rPr>
          <t xml:space="preserve"> DO PONTO DE PARTIDA (ESTACA "0") OU UMA COORDENADA ARBITRÁRIA. (USE NO MÁXIMO 3 CASAS DECIMAIS DEPOIS DA VÍRGULA)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6"/>
            <color indexed="8"/>
            <rFont val="Tahoma"/>
            <family val="2"/>
          </rPr>
          <t xml:space="preserve">DIGITE A </t>
        </r>
        <r>
          <rPr>
            <b/>
            <u val="single"/>
            <sz val="6"/>
            <color indexed="8"/>
            <rFont val="Tahoma"/>
            <family val="2"/>
          </rPr>
          <t>COORDENADA "Y"</t>
        </r>
        <r>
          <rPr>
            <sz val="6"/>
            <color indexed="8"/>
            <rFont val="Tahoma"/>
            <family val="2"/>
          </rPr>
          <t xml:space="preserve"> DO PONTO DE PARTIDA (ESTACA "0") OU UMA COORDENADA ARBITRÁRIA. (USE NO MÁXIMO 3 CASAS DECIMAIS DEPOIS DA VÍRGULA)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9" authorId="0">
      <text>
        <r>
          <rPr>
            <sz val="6"/>
            <color indexed="8"/>
            <rFont val="Tahoma"/>
            <family val="2"/>
          </rPr>
          <t>CASO APÓS A ENTRADA DOS FIOS, APARECER A EXPRESSÃO (#</t>
        </r>
        <r>
          <rPr>
            <b/>
            <sz val="6"/>
            <color indexed="8"/>
            <rFont val="Tahoma"/>
            <family val="2"/>
          </rPr>
          <t>VALOR!</t>
        </r>
        <r>
          <rPr>
            <sz val="6"/>
            <color indexed="8"/>
            <rFont val="Tahoma"/>
            <family val="2"/>
          </rPr>
          <t>) NA COLUNA DAS COORDENADAS; VERIFIQUE SE NÃO OCORREU ALGUM ERRO DE DIGITAÇÃO OU NAS ANOTAÇÕES DE CAMPO.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6"/>
            <color indexed="8"/>
            <rFont val="Tahoma"/>
            <family val="2"/>
          </rPr>
          <t>ESTACA</t>
        </r>
        <r>
          <rPr>
            <sz val="6"/>
            <color indexed="8"/>
            <rFont val="Tahoma"/>
            <family val="2"/>
          </rPr>
          <t xml:space="preserve"> É O PONTO ONDE SE ENCONTRA INSTALADO O APARELHO; ESTA COLUNA JÁ ESTÁ PREENCHIDA, PORTANTO, NÃO INSIRA NENHUM DADO NELA.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6"/>
            <color indexed="63"/>
            <rFont val="Tahoma"/>
            <family val="2"/>
          </rPr>
          <t>PONTO VISADO</t>
        </r>
        <r>
          <rPr>
            <sz val="6"/>
            <color indexed="63"/>
            <rFont val="Tahoma"/>
            <family val="2"/>
          </rPr>
          <t>, ESTA COLUNA SE ENCONTRA TODA PREENCHIDA, CASO VOCÊ EXCLUA PARTE DA PLANILHA, DIGITE (P-0) NA ULTIMA CÉLULA.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<sst xmlns="http://schemas.openxmlformats.org/spreadsheetml/2006/main" count="71" uniqueCount="53">
  <si>
    <t xml:space="preserve">MUNICÍPIO - Itaúna                  LOCAL - Trevo Pará de Minas               PROPRIETÁRIO -  </t>
  </si>
  <si>
    <t>AZ =&gt;</t>
  </si>
  <si>
    <t>PLANIMETRIA</t>
  </si>
  <si>
    <t>ALTIIMETRIA</t>
  </si>
  <si>
    <t>EST.</t>
  </si>
  <si>
    <t>P.V.</t>
  </si>
  <si>
    <t>ALT.</t>
  </si>
  <si>
    <t>CORRETAS</t>
  </si>
  <si>
    <t xml:space="preserve"> DIST.</t>
  </si>
  <si>
    <t>CALCULADAS</t>
  </si>
  <si>
    <t>X</t>
  </si>
  <si>
    <t>Y</t>
  </si>
  <si>
    <t>Z</t>
  </si>
  <si>
    <t xml:space="preserve">    E +</t>
  </si>
  <si>
    <t xml:space="preserve">   O -</t>
  </si>
  <si>
    <t xml:space="preserve">   E +</t>
  </si>
  <si>
    <t xml:space="preserve">    O -</t>
  </si>
  <si>
    <t xml:space="preserve">   N +</t>
  </si>
  <si>
    <t xml:space="preserve">   S -</t>
  </si>
  <si>
    <t>P-0</t>
  </si>
  <si>
    <t>P-1</t>
  </si>
  <si>
    <t>P-2</t>
  </si>
  <si>
    <t>P-3</t>
  </si>
  <si>
    <t>P-4</t>
  </si>
  <si>
    <t>metros</t>
  </si>
  <si>
    <t xml:space="preserve">    COORDENADAS</t>
  </si>
  <si>
    <t>Cota de partida =&gt;</t>
  </si>
  <si>
    <t>N. de est. =&gt;</t>
  </si>
  <si>
    <t>"0" polig aberta "1" p/ fechada =&gt;</t>
  </si>
  <si>
    <t>ABSCISSAS RELATIVAS</t>
  </si>
  <si>
    <t xml:space="preserve"> ORDENADAS RELATIVAS</t>
  </si>
  <si>
    <t>AZIM.</t>
  </si>
  <si>
    <t>DEFL.</t>
  </si>
  <si>
    <t>CORR.</t>
  </si>
  <si>
    <t>C  A  D  E  R  N  E  T  A           DE           C  A  M  P  O</t>
  </si>
  <si>
    <t>F.INF.</t>
  </si>
  <si>
    <t>F.MED.</t>
  </si>
  <si>
    <t>F.SUP.</t>
  </si>
  <si>
    <t xml:space="preserve">   ANG.H.</t>
  </si>
  <si>
    <t xml:space="preserve">   ANG.V.</t>
  </si>
  <si>
    <t>X            Y</t>
  </si>
  <si>
    <t>X         Y         Z</t>
  </si>
  <si>
    <t>Digite as coord. do ponto de partida =&gt;</t>
  </si>
  <si>
    <t>RT - Zênio J. Antunes Castro CREA 9906/TD</t>
  </si>
  <si>
    <t>Proprietário - ...</t>
  </si>
  <si>
    <r>
      <t>DÚVIDA ?</t>
    </r>
    <r>
      <rPr>
        <sz val="7"/>
        <rFont val="Arial"/>
        <family val="2"/>
      </rPr>
      <t xml:space="preserve">        Ligue (0XX37) 3243 4297 ou passe um e-mail - zenio@nwnet.com.br</t>
    </r>
  </si>
  <si>
    <t xml:space="preserve">                                  OBSERVAÇÕES                                 </t>
  </si>
  <si>
    <t>Digite"0" p/ aparelho  (NADIRAL) ou"1" p/  (ZENITAL)  =&gt;</t>
  </si>
  <si>
    <r>
      <t xml:space="preserve">       </t>
    </r>
    <r>
      <rPr>
        <u val="single"/>
        <sz val="24"/>
        <rFont val="Federation"/>
        <family val="0"/>
      </rPr>
      <t>PLANILHA DE COORDENADAS</t>
    </r>
  </si>
  <si>
    <t>Engenharia de Agrimensura de MG.</t>
  </si>
  <si>
    <r>
      <t xml:space="preserve">Aluno da </t>
    </r>
    <r>
      <rPr>
        <b/>
        <u val="single"/>
        <sz val="6"/>
        <rFont val="Arial"/>
        <family val="2"/>
      </rPr>
      <t>FEAMIG</t>
    </r>
    <r>
      <rPr>
        <sz val="6"/>
        <rFont val="Arial"/>
        <family val="0"/>
      </rPr>
      <t xml:space="preserve"> - Faculdade de</t>
    </r>
  </si>
  <si>
    <r>
      <t xml:space="preserve">Autor : </t>
    </r>
    <r>
      <rPr>
        <u val="single"/>
        <sz val="6"/>
        <rFont val="Arial"/>
        <family val="2"/>
      </rPr>
      <t>Zênio J. Antunes Castro</t>
    </r>
  </si>
  <si>
    <t>Você poderá usar esta planilha indefinidamente e inserir infinitas irradiações, desde que seus trabalhos não ultrapasse 5 (cinco) estacas. No caso de alguma dúvida ou interesse em uma planilha para serviços maiores entre em contato: Tel (37) 3243 42 97 - zenio@nwnet.com.br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</si>
</sst>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0.000000"/>
  </numFmts>
  <fonts count="29">
    <font>
      <sz val="10"/>
      <name val="Arial"/>
      <family val="0"/>
    </font>
    <font>
      <b/>
      <u val="single"/>
      <sz val="8"/>
      <name val="Arial"/>
      <family val="2"/>
    </font>
    <font>
      <sz val="8"/>
      <name val="URWWoodTypD"/>
      <family val="5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6"/>
      <name val="Tahoma"/>
      <family val="2"/>
    </font>
    <font>
      <sz val="8"/>
      <name val="Tahoma"/>
      <family val="2"/>
    </font>
    <font>
      <sz val="6"/>
      <color indexed="8"/>
      <name val="Tahoma"/>
      <family val="2"/>
    </font>
    <font>
      <b/>
      <u val="single"/>
      <sz val="6"/>
      <color indexed="8"/>
      <name val="Tahoma"/>
      <family val="2"/>
    </font>
    <font>
      <b/>
      <sz val="6"/>
      <color indexed="8"/>
      <name val="Tahoma"/>
      <family val="2"/>
    </font>
    <font>
      <b/>
      <sz val="6"/>
      <color indexed="8"/>
      <name val="Arial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vertAlign val="subscript"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color indexed="63"/>
      <name val="Tahoma"/>
      <family val="2"/>
    </font>
    <font>
      <sz val="6"/>
      <color indexed="63"/>
      <name val="Tahoma"/>
      <family val="2"/>
    </font>
    <font>
      <b/>
      <sz val="6"/>
      <color indexed="10"/>
      <name val="Tahoma"/>
      <family val="2"/>
    </font>
    <font>
      <b/>
      <sz val="8"/>
      <color indexed="8"/>
      <name val="Tahoma"/>
      <family val="2"/>
    </font>
    <font>
      <sz val="7"/>
      <name val="Arial"/>
      <family val="2"/>
    </font>
    <font>
      <u val="single"/>
      <sz val="6"/>
      <color indexed="8"/>
      <name val="Tahoma"/>
      <family val="2"/>
    </font>
    <font>
      <sz val="24"/>
      <name val="Federation"/>
      <family val="0"/>
    </font>
    <font>
      <u val="single"/>
      <sz val="24"/>
      <name val="Federation"/>
      <family val="0"/>
    </font>
    <font>
      <sz val="10"/>
      <name val="Federation"/>
      <family val="0"/>
    </font>
    <font>
      <b/>
      <u val="single"/>
      <sz val="6"/>
      <name val="Arial"/>
      <family val="2"/>
    </font>
    <font>
      <u val="single"/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42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 applyProtection="1">
      <alignment horizontal="center"/>
      <protection locked="0"/>
    </xf>
    <xf numFmtId="165" fontId="3" fillId="2" borderId="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165" fontId="3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4" fillId="2" borderId="5" xfId="0" applyNumberFormat="1" applyFont="1" applyFill="1" applyBorder="1" applyAlignment="1" applyProtection="1">
      <alignment horizontal="center"/>
      <protection locked="0"/>
    </xf>
    <xf numFmtId="166" fontId="4" fillId="2" borderId="6" xfId="0" applyNumberFormat="1" applyFont="1" applyFill="1" applyBorder="1" applyAlignment="1" applyProtection="1">
      <alignment horizontal="center"/>
      <protection locked="0"/>
    </xf>
    <xf numFmtId="166" fontId="5" fillId="2" borderId="7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66" fontId="5" fillId="2" borderId="10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>
      <alignment horizontal="center"/>
    </xf>
    <xf numFmtId="166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6" fontId="4" fillId="2" borderId="2" xfId="0" applyNumberFormat="1" applyFont="1" applyFill="1" applyBorder="1" applyAlignment="1" applyProtection="1">
      <alignment horizontal="center"/>
      <protection locked="0"/>
    </xf>
    <xf numFmtId="166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11" fontId="0" fillId="2" borderId="0" xfId="0" applyNumberForma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166" fontId="5" fillId="2" borderId="7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1" fontId="4" fillId="3" borderId="9" xfId="0" applyNumberFormat="1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6" borderId="9" xfId="0" applyNumberFormat="1" applyFont="1" applyFill="1" applyBorder="1" applyAlignment="1">
      <alignment horizontal="center" vertical="center"/>
    </xf>
    <xf numFmtId="165" fontId="4" fillId="6" borderId="9" xfId="0" applyNumberFormat="1" applyFont="1" applyFill="1" applyBorder="1" applyAlignment="1">
      <alignment horizontal="center" vertical="center"/>
    </xf>
    <xf numFmtId="166" fontId="4" fillId="6" borderId="9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1" fontId="14" fillId="5" borderId="18" xfId="0" applyNumberFormat="1" applyFont="1" applyFill="1" applyBorder="1" applyAlignment="1" applyProtection="1">
      <alignment horizontal="justify" vertical="justify"/>
      <protection hidden="1" locked="0"/>
    </xf>
    <xf numFmtId="0" fontId="0" fillId="5" borderId="26" xfId="0" applyFill="1" applyBorder="1" applyAlignment="1">
      <alignment vertical="justify"/>
    </xf>
    <xf numFmtId="0" fontId="0" fillId="5" borderId="27" xfId="0" applyFill="1" applyBorder="1" applyAlignment="1">
      <alignment vertical="justify"/>
    </xf>
    <xf numFmtId="0" fontId="0" fillId="5" borderId="28" xfId="0" applyFill="1" applyBorder="1" applyAlignment="1">
      <alignment vertical="justify"/>
    </xf>
    <xf numFmtId="0" fontId="0" fillId="5" borderId="23" xfId="0" applyFill="1" applyBorder="1" applyAlignment="1">
      <alignment vertical="justify"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1" xfId="0" applyFill="1" applyBorder="1" applyAlignment="1">
      <alignment/>
    </xf>
    <xf numFmtId="11" fontId="4" fillId="5" borderId="7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66" fontId="4" fillId="3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0" fontId="14" fillId="5" borderId="18" xfId="0" applyFont="1" applyFill="1" applyBorder="1" applyAlignment="1" applyProtection="1">
      <alignment horizontal="justify" vertical="center"/>
      <protection hidden="1" locked="0"/>
    </xf>
    <xf numFmtId="0" fontId="0" fillId="5" borderId="26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3" xfId="0" applyFill="1" applyBorder="1" applyAlignment="1">
      <alignment/>
    </xf>
    <xf numFmtId="11" fontId="15" fillId="7" borderId="29" xfId="0" applyNumberFormat="1" applyFont="1" applyFill="1" applyBorder="1" applyAlignment="1">
      <alignment horizontal="center" vertical="center"/>
    </xf>
    <xf numFmtId="11" fontId="15" fillId="7" borderId="30" xfId="0" applyNumberFormat="1" applyFont="1" applyFill="1" applyBorder="1" applyAlignment="1">
      <alignment horizontal="center" vertical="center"/>
    </xf>
    <xf numFmtId="11" fontId="15" fillId="7" borderId="31" xfId="0" applyNumberFormat="1" applyFont="1" applyFill="1" applyBorder="1" applyAlignment="1">
      <alignment horizontal="center" vertical="center"/>
    </xf>
    <xf numFmtId="11" fontId="15" fillId="7" borderId="32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/>
    </xf>
    <xf numFmtId="11" fontId="4" fillId="5" borderId="33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166" fontId="3" fillId="5" borderId="34" xfId="0" applyNumberFormat="1" applyFont="1" applyFill="1" applyBorder="1" applyAlignment="1">
      <alignment horizontal="right" vertical="center"/>
    </xf>
    <xf numFmtId="0" fontId="0" fillId="5" borderId="0" xfId="0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3" xfId="0" applyFill="1" applyBorder="1" applyAlignment="1">
      <alignment/>
    </xf>
    <xf numFmtId="2" fontId="4" fillId="5" borderId="7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1" fontId="16" fillId="5" borderId="14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66" fontId="16" fillId="5" borderId="0" xfId="0" applyNumberFormat="1" applyFont="1" applyFill="1" applyBorder="1" applyAlignment="1">
      <alignment horizontal="center"/>
    </xf>
    <xf numFmtId="1" fontId="16" fillId="5" borderId="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justify" vertical="justify"/>
    </xf>
    <xf numFmtId="2" fontId="16" fillId="5" borderId="3" xfId="0" applyNumberFormat="1" applyFont="1" applyFill="1" applyBorder="1" applyAlignment="1">
      <alignment horizontal="center"/>
    </xf>
    <xf numFmtId="1" fontId="16" fillId="5" borderId="3" xfId="0" applyNumberFormat="1" applyFont="1" applyFill="1" applyBorder="1" applyAlignment="1">
      <alignment horizontal="center"/>
    </xf>
    <xf numFmtId="0" fontId="17" fillId="5" borderId="3" xfId="0" applyFont="1" applyFill="1" applyBorder="1" applyAlignment="1">
      <alignment horizontal="justify" vertical="justify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5" borderId="14" xfId="0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3" fillId="5" borderId="35" xfId="0" applyNumberFormat="1" applyFont="1" applyFill="1" applyBorder="1" applyAlignment="1">
      <alignment horizontal="center"/>
    </xf>
    <xf numFmtId="11" fontId="15" fillId="7" borderId="36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ill="1" applyBorder="1" applyAlignment="1">
      <alignment/>
    </xf>
    <xf numFmtId="166" fontId="3" fillId="3" borderId="37" xfId="0" applyNumberFormat="1" applyFont="1" applyFill="1" applyBorder="1" applyAlignment="1">
      <alignment horizontal="center"/>
    </xf>
    <xf numFmtId="166" fontId="3" fillId="3" borderId="35" xfId="0" applyNumberFormat="1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0" fillId="5" borderId="33" xfId="0" applyFill="1" applyBorder="1" applyAlignment="1">
      <alignment/>
    </xf>
    <xf numFmtId="0" fontId="17" fillId="5" borderId="6" xfId="0" applyFont="1" applyFill="1" applyBorder="1" applyAlignment="1">
      <alignment/>
    </xf>
    <xf numFmtId="0" fontId="17" fillId="5" borderId="22" xfId="0" applyFont="1" applyFill="1" applyBorder="1" applyAlignment="1">
      <alignment/>
    </xf>
    <xf numFmtId="0" fontId="17" fillId="5" borderId="11" xfId="0" applyFont="1" applyFill="1" applyBorder="1" applyAlignment="1">
      <alignment/>
    </xf>
    <xf numFmtId="0" fontId="17" fillId="5" borderId="23" xfId="0" applyFont="1" applyFill="1" applyBorder="1" applyAlignment="1">
      <alignment/>
    </xf>
    <xf numFmtId="1" fontId="16" fillId="5" borderId="6" xfId="0" applyNumberFormat="1" applyFont="1" applyFill="1" applyBorder="1" applyAlignment="1">
      <alignment horizontal="right"/>
    </xf>
    <xf numFmtId="0" fontId="0" fillId="5" borderId="0" xfId="0" applyFill="1" applyBorder="1" applyAlignment="1">
      <alignment/>
    </xf>
    <xf numFmtId="0" fontId="17" fillId="5" borderId="6" xfId="0" applyFont="1" applyFill="1" applyBorder="1" applyAlignment="1">
      <alignment horizontal="justify" vertical="justify"/>
    </xf>
    <xf numFmtId="0" fontId="0" fillId="5" borderId="0" xfId="0" applyFont="1" applyFill="1" applyBorder="1" applyAlignment="1">
      <alignment horizontal="justify" vertical="justify"/>
    </xf>
    <xf numFmtId="0" fontId="0" fillId="5" borderId="22" xfId="0" applyFont="1" applyFill="1" applyBorder="1" applyAlignment="1">
      <alignment horizontal="justify" vertical="justify"/>
    </xf>
    <xf numFmtId="0" fontId="0" fillId="5" borderId="11" xfId="0" applyFont="1" applyFill="1" applyBorder="1" applyAlignment="1">
      <alignment horizontal="justify" vertical="justify"/>
    </xf>
    <xf numFmtId="0" fontId="0" fillId="5" borderId="3" xfId="0" applyFont="1" applyFill="1" applyBorder="1" applyAlignment="1">
      <alignment horizontal="justify" vertical="justify"/>
    </xf>
    <xf numFmtId="0" fontId="0" fillId="5" borderId="23" xfId="0" applyFont="1" applyFill="1" applyBorder="1" applyAlignment="1">
      <alignment horizontal="justify" vertical="justify"/>
    </xf>
    <xf numFmtId="1" fontId="16" fillId="5" borderId="11" xfId="0" applyNumberFormat="1" applyFont="1" applyFill="1" applyBorder="1" applyAlignment="1">
      <alignment horizontal="right"/>
    </xf>
    <xf numFmtId="0" fontId="0" fillId="5" borderId="3" xfId="0" applyFill="1" applyBorder="1" applyAlignment="1">
      <alignment/>
    </xf>
    <xf numFmtId="0" fontId="3" fillId="5" borderId="3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1" fontId="16" fillId="5" borderId="10" xfId="0" applyNumberFormat="1" applyFont="1" applyFill="1" applyBorder="1" applyAlignment="1">
      <alignment horizontal="center" vertical="center"/>
    </xf>
    <xf numFmtId="1" fontId="22" fillId="5" borderId="14" xfId="0" applyNumberFormat="1" applyFont="1" applyFill="1" applyBorder="1" applyAlignment="1">
      <alignment horizontal="center" vertical="center"/>
    </xf>
    <xf numFmtId="1" fontId="22" fillId="5" borderId="33" xfId="0" applyNumberFormat="1" applyFont="1" applyFill="1" applyBorder="1" applyAlignment="1">
      <alignment horizontal="center" vertical="center"/>
    </xf>
    <xf numFmtId="1" fontId="5" fillId="6" borderId="13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" fontId="4" fillId="5" borderId="38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/>
    </xf>
    <xf numFmtId="0" fontId="0" fillId="5" borderId="14" xfId="0" applyFill="1" applyBorder="1" applyAlignment="1">
      <alignment/>
    </xf>
    <xf numFmtId="1" fontId="24" fillId="5" borderId="15" xfId="0" applyNumberFormat="1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/>
    </xf>
    <xf numFmtId="1" fontId="16" fillId="5" borderId="10" xfId="0" applyNumberFormat="1" applyFont="1" applyFill="1" applyBorder="1" applyAlignment="1">
      <alignment horizontal="right"/>
    </xf>
    <xf numFmtId="0" fontId="3" fillId="5" borderId="39" xfId="0" applyFont="1" applyFill="1" applyBorder="1" applyAlignment="1">
      <alignment/>
    </xf>
    <xf numFmtId="0" fontId="0" fillId="5" borderId="27" xfId="0" applyFill="1" applyBorder="1" applyAlignment="1">
      <alignment/>
    </xf>
    <xf numFmtId="1" fontId="3" fillId="5" borderId="34" xfId="0" applyNumberFormat="1" applyFont="1" applyFill="1" applyBorder="1" applyAlignment="1">
      <alignment horizontal="right" vertical="center"/>
    </xf>
    <xf numFmtId="0" fontId="0" fillId="5" borderId="25" xfId="0" applyFont="1" applyFill="1" applyBorder="1" applyAlignment="1">
      <alignment/>
    </xf>
    <xf numFmtId="1" fontId="4" fillId="5" borderId="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5" borderId="2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29325" y="0"/>
          <a:ext cx="1247775" cy="0"/>
        </a:xfrm>
        <a:prstGeom prst="wedgeRectCallout">
          <a:avLst>
            <a:gd name="adj1" fmla="val 95976"/>
            <a:gd name="adj2" fmla="val -22726"/>
          </a:avLst>
        </a:prstGeom>
        <a:solidFill>
          <a:srgbClr val="00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>
              <a:latin typeface="Arial"/>
              <a:ea typeface="Arial"/>
              <a:cs typeface="Arial"/>
            </a:rPr>
            <a:t>POSICIONE O CURSOR AQUI !</a:t>
          </a:r>
        </a:p>
      </xdr:txBody>
    </xdr:sp>
    <xdr:clientData fPrintsWithSheet="0"/>
  </xdr:twoCellAnchor>
  <xdr:twoCellAnchor>
    <xdr:from>
      <xdr:col>1</xdr:col>
      <xdr:colOff>171450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" y="0"/>
          <a:ext cx="800100" cy="0"/>
        </a:xfrm>
        <a:prstGeom prst="wedgeRectCallout">
          <a:avLst>
            <a:gd name="adj1" fmla="val -80680"/>
            <a:gd name="adj2" fmla="val -20967"/>
          </a:avLst>
        </a:prstGeom>
        <a:solidFill>
          <a:srgbClr val="00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>
              <a:latin typeface="Arial"/>
              <a:ea typeface="Arial"/>
              <a:cs typeface="Arial"/>
            </a:rPr>
            <a:t>POSICIONE O CURSOR AQUI !</a:t>
          </a:r>
        </a:p>
      </xdr:txBody>
    </xdr:sp>
    <xdr:clientData fPrintsWithSheet="0"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27710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47625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0"/>
          <a:ext cx="1714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0</xdr:row>
      <xdr:rowOff>114300</xdr:rowOff>
    </xdr:from>
    <xdr:to>
      <xdr:col>4</xdr:col>
      <xdr:colOff>47625</xdr:colOff>
      <xdr:row>0</xdr:row>
      <xdr:rowOff>323850</xdr:rowOff>
    </xdr:to>
    <xdr:sp>
      <xdr:nvSpPr>
        <xdr:cNvPr id="5" name="AutoShape 11"/>
        <xdr:cNvSpPr>
          <a:spLocks noChangeAspect="1"/>
        </xdr:cNvSpPr>
      </xdr:nvSpPr>
      <xdr:spPr>
        <a:xfrm>
          <a:off x="304800" y="114300"/>
          <a:ext cx="990600" cy="209550"/>
        </a:xfrm>
        <a:prstGeom prst="leftArrowCallout">
          <a:avLst>
            <a:gd name="adj" fmla="val -19231"/>
          </a:avLst>
        </a:prstGeom>
        <a:solidFill>
          <a:srgbClr val="C0C0C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28"/>
  <sheetViews>
    <sheetView tabSelected="1" showOutlineSymbols="0" workbookViewId="0" topLeftCell="A4">
      <selection activeCell="I24" sqref="I24"/>
    </sheetView>
  </sheetViews>
  <sheetFormatPr defaultColWidth="9.140625" defaultRowHeight="12.75" outlineLevelCol="4"/>
  <cols>
    <col min="1" max="2" width="4.28125" style="41" bestFit="1" customWidth="1"/>
    <col min="3" max="3" width="4.8515625" style="42" bestFit="1" customWidth="1"/>
    <col min="4" max="4" width="5.28125" style="41" bestFit="1" customWidth="1" outlineLevel="1"/>
    <col min="5" max="5" width="6.00390625" style="41" bestFit="1" customWidth="1" outlineLevel="1"/>
    <col min="6" max="6" width="7.57421875" style="41" bestFit="1" customWidth="1" outlineLevel="1"/>
    <col min="7" max="7" width="8.28125" style="43" bestFit="1" customWidth="1" outlineLevel="1"/>
    <col min="8" max="8" width="7.57421875" style="43" bestFit="1" customWidth="1" outlineLevel="1"/>
    <col min="9" max="9" width="42.28125" style="43" bestFit="1" customWidth="1" outlineLevel="1"/>
    <col min="10" max="12" width="6.57421875" style="44" hidden="1" customWidth="1" outlineLevel="1"/>
    <col min="13" max="13" width="8.28125" style="44" hidden="1" customWidth="1" outlineLevel="4"/>
    <col min="14" max="14" width="5.7109375" style="46" hidden="1" customWidth="1" outlineLevel="4"/>
    <col min="15" max="15" width="6.421875" style="28" hidden="1" customWidth="1" outlineLevel="4"/>
    <col min="16" max="16" width="7.140625" style="28" hidden="1" customWidth="1" outlineLevel="4"/>
    <col min="17" max="17" width="9.28125" style="28" hidden="1" customWidth="1" outlineLevel="3"/>
    <col min="18" max="18" width="7.140625" style="28" hidden="1" customWidth="1" outlineLevel="2"/>
    <col min="19" max="19" width="6.57421875" style="28" hidden="1" customWidth="1" outlineLevel="2"/>
    <col min="20" max="20" width="7.140625" style="28" hidden="1" customWidth="1" outlineLevel="2"/>
    <col min="21" max="21" width="6.57421875" style="28" hidden="1" customWidth="1" outlineLevel="1"/>
    <col min="22" max="22" width="7.140625" style="28" hidden="1" customWidth="1"/>
    <col min="23" max="23" width="8.28125" style="30" hidden="1" customWidth="1" outlineLevel="2"/>
    <col min="24" max="24" width="7.421875" style="30" hidden="1" customWidth="1" outlineLevel="2"/>
    <col min="25" max="25" width="6.57421875" style="1" hidden="1" customWidth="1" outlineLevel="2"/>
    <col min="26" max="26" width="5.7109375" style="45" customWidth="1" outlineLevel="4"/>
    <col min="27" max="27" width="13.00390625" style="47" customWidth="1" outlineLevel="1"/>
    <col min="28" max="28" width="18.140625" style="47" hidden="1" customWidth="1"/>
    <col min="29" max="30" width="0.13671875" style="30" customWidth="1"/>
    <col min="31" max="16384" width="0.13671875" style="30" hidden="1" customWidth="1"/>
  </cols>
  <sheetData>
    <row r="1" spans="1:28" s="1" customFormat="1" ht="36.75" customHeight="1" thickBot="1">
      <c r="A1" s="117" t="str">
        <f>"*"</f>
        <v>*</v>
      </c>
      <c r="B1" s="181" t="s">
        <v>48</v>
      </c>
      <c r="C1" s="182"/>
      <c r="D1" s="182"/>
      <c r="E1" s="182"/>
      <c r="F1" s="182"/>
      <c r="G1" s="182"/>
      <c r="H1" s="182"/>
      <c r="I1" s="182"/>
      <c r="J1" s="91"/>
      <c r="K1" s="91"/>
      <c r="L1" s="55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55"/>
      <c r="Y1" s="81"/>
      <c r="Z1" s="91"/>
      <c r="AA1" s="86"/>
      <c r="AB1" s="105"/>
    </row>
    <row r="2" spans="1:28" s="24" customFormat="1" ht="13.5" customHeight="1" thickBot="1">
      <c r="A2" s="178" t="s">
        <v>0</v>
      </c>
      <c r="B2" s="179"/>
      <c r="C2" s="180"/>
      <c r="D2" s="179"/>
      <c r="E2" s="180"/>
      <c r="F2" s="179"/>
      <c r="G2" s="179"/>
      <c r="H2" s="180"/>
      <c r="I2" s="179"/>
      <c r="J2" s="92"/>
      <c r="K2" s="92"/>
      <c r="L2" s="56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56"/>
      <c r="Y2" s="82"/>
      <c r="Z2" s="120"/>
      <c r="AA2" s="87"/>
      <c r="AB2" s="106"/>
    </row>
    <row r="3" spans="1:28" s="25" customFormat="1" ht="13.5" customHeight="1" thickBot="1" thickTop="1">
      <c r="A3" s="186" t="s">
        <v>27</v>
      </c>
      <c r="B3" s="187"/>
      <c r="C3" s="69">
        <v>10</v>
      </c>
      <c r="D3" s="118" t="s">
        <v>1</v>
      </c>
      <c r="E3" s="101">
        <v>0</v>
      </c>
      <c r="F3" s="184" t="s">
        <v>26</v>
      </c>
      <c r="G3" s="185"/>
      <c r="H3" s="113">
        <v>800</v>
      </c>
      <c r="I3" s="114" t="s">
        <v>43</v>
      </c>
      <c r="J3" s="93"/>
      <c r="K3" s="93"/>
      <c r="L3" s="57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57"/>
      <c r="Y3" s="83"/>
      <c r="Z3" s="120"/>
      <c r="AA3" s="88"/>
      <c r="AB3" s="94"/>
    </row>
    <row r="4" spans="1:28" s="26" customFormat="1" ht="14.25" thickBot="1" thickTop="1">
      <c r="A4" s="186" t="s">
        <v>28</v>
      </c>
      <c r="B4" s="187"/>
      <c r="C4" s="187"/>
      <c r="D4" s="187"/>
      <c r="E4" s="190"/>
      <c r="F4" s="102">
        <v>1</v>
      </c>
      <c r="G4" s="188" t="s">
        <v>44</v>
      </c>
      <c r="H4" s="189"/>
      <c r="I4" s="189"/>
      <c r="J4" s="93"/>
      <c r="K4" s="93"/>
      <c r="L4" s="57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00"/>
      <c r="Y4" s="84"/>
      <c r="Z4" s="120"/>
      <c r="AA4" s="89"/>
      <c r="AB4" s="107"/>
    </row>
    <row r="5" spans="1:28" s="26" customFormat="1" ht="14.25" thickBot="1" thickTop="1">
      <c r="A5" s="169" t="s">
        <v>42</v>
      </c>
      <c r="B5" s="170"/>
      <c r="C5" s="170"/>
      <c r="D5" s="170"/>
      <c r="E5" s="170"/>
      <c r="F5" s="171"/>
      <c r="G5" s="104">
        <v>10000</v>
      </c>
      <c r="H5" s="103">
        <v>5000</v>
      </c>
      <c r="I5" s="95"/>
      <c r="J5" s="95"/>
      <c r="K5" s="95"/>
      <c r="L5" s="64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9"/>
      <c r="Y5" s="85"/>
      <c r="Z5" s="121"/>
      <c r="AA5" s="90"/>
      <c r="AB5" s="108"/>
    </row>
    <row r="6" spans="1:28" s="17" customFormat="1" ht="14.25" thickBot="1" thickTop="1">
      <c r="A6" s="147" t="s">
        <v>47</v>
      </c>
      <c r="B6" s="148"/>
      <c r="C6" s="148"/>
      <c r="D6" s="148"/>
      <c r="E6" s="148"/>
      <c r="F6" s="148"/>
      <c r="G6" s="149"/>
      <c r="H6" s="69">
        <v>0</v>
      </c>
      <c r="I6" s="119"/>
      <c r="J6" s="66"/>
      <c r="K6" s="51"/>
      <c r="L6" s="27"/>
      <c r="M6" s="20"/>
      <c r="N6" s="52"/>
      <c r="P6" s="49" t="s">
        <v>29</v>
      </c>
      <c r="Q6" s="67"/>
      <c r="R6" s="68"/>
      <c r="T6" s="49" t="s">
        <v>30</v>
      </c>
      <c r="U6" s="67"/>
      <c r="V6" s="68"/>
      <c r="X6" s="98" t="s">
        <v>25</v>
      </c>
      <c r="Y6" s="58"/>
      <c r="Z6" s="122"/>
      <c r="AA6" s="96" t="s">
        <v>2</v>
      </c>
      <c r="AB6" s="115" t="s">
        <v>3</v>
      </c>
    </row>
    <row r="7" spans="1:28" s="17" customFormat="1" ht="13.5" thickBot="1">
      <c r="A7" s="175" t="s">
        <v>34</v>
      </c>
      <c r="B7" s="176"/>
      <c r="C7" s="176"/>
      <c r="D7" s="176"/>
      <c r="E7" s="176"/>
      <c r="F7" s="176"/>
      <c r="G7" s="176"/>
      <c r="H7" s="176"/>
      <c r="I7" s="177"/>
      <c r="J7" s="18" t="s">
        <v>32</v>
      </c>
      <c r="K7" s="9" t="s">
        <v>32</v>
      </c>
      <c r="L7" s="19" t="s">
        <v>32</v>
      </c>
      <c r="M7" s="18" t="s">
        <v>31</v>
      </c>
      <c r="N7" s="54" t="s">
        <v>8</v>
      </c>
      <c r="O7" s="80" t="s">
        <v>9</v>
      </c>
      <c r="P7" s="68"/>
      <c r="Q7" s="49" t="s">
        <v>7</v>
      </c>
      <c r="R7" s="68"/>
      <c r="S7" s="80" t="s">
        <v>9</v>
      </c>
      <c r="T7" s="68"/>
      <c r="U7" s="80" t="s">
        <v>7</v>
      </c>
      <c r="V7" s="68"/>
      <c r="W7" s="59" t="s">
        <v>10</v>
      </c>
      <c r="X7" s="59" t="s">
        <v>11</v>
      </c>
      <c r="Y7" s="59" t="s">
        <v>12</v>
      </c>
      <c r="Z7" s="123" t="s">
        <v>8</v>
      </c>
      <c r="AA7" s="97" t="s">
        <v>40</v>
      </c>
      <c r="AB7" s="116" t="s">
        <v>41</v>
      </c>
    </row>
    <row r="8" spans="1:28" ht="16.5" thickBot="1">
      <c r="A8" s="76" t="s">
        <v>4</v>
      </c>
      <c r="B8" s="76" t="s">
        <v>5</v>
      </c>
      <c r="C8" s="77" t="s">
        <v>6</v>
      </c>
      <c r="D8" s="76" t="s">
        <v>35</v>
      </c>
      <c r="E8" s="76" t="s">
        <v>36</v>
      </c>
      <c r="F8" s="76" t="s">
        <v>37</v>
      </c>
      <c r="G8" s="78" t="s">
        <v>38</v>
      </c>
      <c r="H8" s="78" t="s">
        <v>39</v>
      </c>
      <c r="I8" s="79" t="s">
        <v>46</v>
      </c>
      <c r="J8" s="21" t="s">
        <v>4</v>
      </c>
      <c r="K8" s="12"/>
      <c r="L8" s="29" t="s">
        <v>33</v>
      </c>
      <c r="M8" s="141">
        <f>INT(E3*SIGN(E3))+(VALUE(TEXT((E3*SIGN(E3)-INT(E3*SIGN(E3)))*100,0)))/60+VALUE(TEXT((((E3*SIGN(E3)-INT(E3*SIGN(E3)))*100)-VALUE(TEXT((E3*SIGN(E3)-INT(E3*SIGN(E3)))*100,0)))*100,"0,0000"))/3600</f>
        <v>0</v>
      </c>
      <c r="N8" s="53"/>
      <c r="O8" s="48" t="s">
        <v>13</v>
      </c>
      <c r="P8" s="48" t="s">
        <v>14</v>
      </c>
      <c r="Q8" s="48" t="s">
        <v>15</v>
      </c>
      <c r="R8" s="48" t="s">
        <v>16</v>
      </c>
      <c r="S8" s="23" t="s">
        <v>17</v>
      </c>
      <c r="T8" s="23" t="s">
        <v>18</v>
      </c>
      <c r="U8" s="23" t="s">
        <v>17</v>
      </c>
      <c r="V8" s="50" t="s">
        <v>18</v>
      </c>
      <c r="W8" s="17"/>
      <c r="X8" s="17"/>
      <c r="Y8" s="74">
        <f>H3</f>
        <v>800</v>
      </c>
      <c r="Z8" s="124"/>
      <c r="AA8" s="111" t="str">
        <f>CONCATENATE(INT(G5),".",IF((G5-INT(G5))*1000&lt;10,CONCATENATE(0,0,ROUND(ABS(G5-INT(G5))*1000,0)),IF((G5-INT(G5))*1000&lt;100,CONCATENATE(0,ROUND(ABS(G5-INT(G5))*1000,0)),ROUND((G5-INT(G5))*1000,0))),",",INT(H5),".",IF((H5-INT(H5))*1000&lt;10,CONCATENATE(0,0,ROUND(ABS(H5-INT(H5))*1000,0)),IF((H5-INT(H5))*1000&lt;100,CONCATENATE(0,ROUND(ABS(H5-INT(H5))*1000,0)),ROUND((H5-INT(H5))*1000,0))))</f>
        <v>10000.000,5000.000</v>
      </c>
      <c r="AB8" s="109" t="str">
        <f>CONCATENATE(INT(G5),".",IF((G5-INT(G5))*1000&lt;10,CONCATENATE(0,0,ROUND(ABS(G5-INT(G5))*1000,0)),IF((G5-INT(G5))*1000&lt;100,CONCATENATE(0,ROUND(ABS(G5-INT(G5))*1000,0)),ROUND((G5-INT(G5))*1000,0))),",",INT(H5),".",IF((H5-INT(H5))*1000&lt;10,CONCATENATE(0,0,ROUND(ABS(H5-INT(H5))*1000,0)),IF((H5-INT(H5))*1000&lt;100,CONCATENATE(0,ROUND(ABS(H5-INT(H5))*1000,0)),ROUND((H5-INT(H5))*1000,0))),",",INT(Y8),".",IF((Y8-INT(Y8))*1000&lt;9.99999,CONCATENATE(0,0,ROUND(ABS(Y8-INT(Y8))*1000,0)),IF((Y8-INT(Y8))*1000&lt;100,CONCATENATE(0,ROUND(ABS(Y8-INT(Y8))*1000,0)),ROUND((Y8-INT(Y8))*1000,0))))</f>
        <v>10000.000,5000.000,800.000</v>
      </c>
    </row>
    <row r="9" spans="1:28" s="35" customFormat="1" ht="15.75">
      <c r="A9" s="63" t="s">
        <v>19</v>
      </c>
      <c r="B9" s="2" t="s">
        <v>20</v>
      </c>
      <c r="C9" s="61">
        <v>1.5</v>
      </c>
      <c r="D9" s="2">
        <v>1000</v>
      </c>
      <c r="E9" s="2">
        <v>0</v>
      </c>
      <c r="F9" s="2">
        <v>2000</v>
      </c>
      <c r="G9" s="3">
        <v>252</v>
      </c>
      <c r="H9" s="3">
        <v>270</v>
      </c>
      <c r="I9" s="62" t="s">
        <v>20</v>
      </c>
      <c r="J9" s="31">
        <f>K9</f>
        <v>72</v>
      </c>
      <c r="K9" s="139">
        <f>INT(G9*SIGN(G9))+(VALUE(TEXT((G9*SIGN(G9)-INT(G9*SIGN(G9)))*100,0)))/60+VALUE(TEXT((((G9*SIGN(G9)-INT(G9*SIGN(G9)))*100)-VALUE(TEXT((G9*SIGN(G9)-INT(G9*SIGN(G9)))*100,0)))*100,"0,0000"))/3600-180</f>
        <v>72</v>
      </c>
      <c r="L9" s="31">
        <f>J9-(IF(F$4=0,0,(IF(SUM(J$9:J$18)&gt;0,SUM(J$9:J$18)-360,SUM(J$9:J$18)+360))/C$3))</f>
        <v>72</v>
      </c>
      <c r="M9" s="31">
        <f>IF(M8+K9&lt;0,(M8+K9)+360,M8+K9)</f>
        <v>72</v>
      </c>
      <c r="N9" s="11">
        <f>Z9</f>
        <v>100</v>
      </c>
      <c r="O9" s="22">
        <f>(IF(AND(M9&gt;=0,M9&lt;90),SIN(M9*PI()/180)*N9,IF(AND(M9&gt;=90,M9&lt;180),SIN((180-M9)*PI()/180)*N9,IF(AND(M9&gt;=180,M9&lt;270),0,IF(AND(M9&gt;=270,M9&lt;360),0,IF(AND(M9&gt;=360,M9&lt;450),SIN((M9-360)*PI()/180)*N9,IF(AND(M9&gt;=450,M9&lt;540),SIN((540-M9)*PI()/180)*N9,IF(AND(M9&gt;=540,M9&lt;630),0,)))))))+IF(AND(M9&gt;=630,M9&lt;720),0,IF(AND(M9&gt;=720,M9&lt;810),SIN((M9-720)*PI()/180)*N9,IF(AND(M9&gt;=810,M9&lt;900),SIN((900-M9)*PI()/180)*N9,IF(AND(M9&gt;=900,M9&lt;990),0,IF(AND(M9&gt;=990,M9&lt;1080),0))))))</f>
        <v>95.10565162951535</v>
      </c>
      <c r="P9" s="22">
        <f>IF(AND(M9&gt;=0,M9&lt;90),0,IF(AND(M9&gt;=90,M9&lt;180),0,IF(AND(M9&gt;=180,M9&lt;270),SIN((M9-180)*PI()/180)*N9*-1,IF(AND(M9&gt;=270,M9&lt;360),SIN((360-M9)*PI()/180)*N9*-1,IF(AND(M9&gt;=360,M9&lt;450),0,IF(AND(M9&gt;=450,M9&lt;540),0,))))))+IF(AND(M9&gt;=540,M9&lt;630),SIN((M9-540)*PI()/180)*N9*-1,IF(AND(M9&gt;=630,M9&lt;720),SIN((720-M9)*PI()/180)*N9*-1,IF(AND(M9&gt;=720,M9&lt;810),0,IF(AND(M9&gt;=810,M9&lt;900),0,IF(AND(M9&gt;=900,M9&lt;990),SIN((990-M9)*PI()/180)*N9*-1,IF(AND(M9&gt;=990,M9&lt;1080),SIN((1080-M9)*PI()/180)*N9*-1))))))</f>
        <v>0</v>
      </c>
      <c r="Q9" s="22">
        <f>IF(O9=0,0,(O9-IF(F$4=0,0,IF(O9=0,(IF(F$4=0,0,SUM(SUM(O$9:O$18),SUM(P$9:P$18))/SUM(ABS(SUM(O$9:O$18)),ABS(SUM(P$9:P$18)))))*P9,(IF(F$4=0,0,SUM(SUM(O$9:O$18),SUM(P$9:P$18))/SUM(ABS(SUM(O$9:O$18)),ABS(SUM(P$9:P$18)))))*O9))))</f>
        <v>95.10565162951535</v>
      </c>
      <c r="R9" s="22">
        <f>IF(P9=0,0,(P9+IF(F$4=0,0,IF(O9=0,(IF(F$4=0,0,SUM(SUM(O$9:O$18),SUM(P$9:P$18))/SUM(ABS(SUM(O$9:O$18)),ABS(SUM(P$9:P$18)))))*P9,(IF(F$4=0,0,SUM(SUM(O$9:O$18),SUM(P$9:P$18))/SUM(ABS(SUM(O$9:O$18)),ABS(SUM(P$9:P$18)))))*O9))))</f>
        <v>0</v>
      </c>
      <c r="S9" s="22">
        <f>IF(AND(M9&gt;=0,M9&lt;90),COS(M9*PI()/180)*N9,IF(AND(M9&gt;=90,M9&lt;180),0,IF(AND(M9&gt;=180,M9&lt;270),0,IF(AND(M9&gt;=270,M9&lt;360),COS((360-M9)*PI()/180)*N9,IF(AND(M9&gt;=360,M9&lt;450),COS((M9-360)*PI()/180)*N9,IF(AND(M9&gt;=450,M9&lt;540),0,IF(AND(M9&gt;=540,M9&lt;630),0,)))))))+IF(AND(M9&gt;=630,M9&lt;720),COS((720-M9)*PI()/180)*N9,IF(AND(M9&gt;=720,M9&lt;810),COS((M9-720)*PI()/180)*N9,IF(AND(M9&gt;=810,M9&lt;900),0,IF(AND(M9&gt;=900,M9&lt;990),0,IF(AND(M9&gt;=990,M9&lt;1080),COS((1080-M9)*PI()/180)*N9)))))</f>
        <v>30.901699437494745</v>
      </c>
      <c r="T9" s="22">
        <f>IF(AND(M9&gt;=0,M9&lt;90),0,IF(AND(M9&gt;=90,M9&lt;180),COS((180-M9)*PI()/180)*N9*-1,IF(AND(M9&gt;=180,M9&lt;270),COS((M9-180)*PI()/180)*N9*-1,IF(AND(M9&gt;=270,M9&lt;360),0,IF(AND(M9&gt;=360,M9&lt;450),0,IF(AND(M9&gt;=450,M9&lt;540),COS((540-M9)*PI()/180)*N9*-1))))))+IF(AND(M9&gt;=540,M9&lt;630),COS((M9-540)*PI()/180)*N9*-1,IF(AND(M9&gt;=630,M9&lt;720),0,IF(AND(M9&gt;=720,M9&lt;810),0,IF(AND(M9&gt;=810,M9&lt;900),COS((900-M9)*PI()/180)*N9*-1,IF(AND(M9&gt;=900,M9&lt;990),COS((990-M9)*PI()/180)*N9*-1,IF(AND(M9&gt;=990,M9&lt;1080),0))))))</f>
        <v>0</v>
      </c>
      <c r="U9" s="22">
        <f>IF(S9=0,0,(S9-IF(F$4=0,0,IF(S9=0,(IF(F$4=0,0,SUM(SUM((S$9:S$18),SUM(T$9:T$18)))/SUM(ABS(SUM(S$9:S$18)),ABS(SUM(T$9:T$18)))))*T9,(IF(F$4=0,0,SUM(SUM((S$9:S$18),SUM(T$9:T$18)))/SUM(ABS(SUM(S$9:S$18)),ABS(SUM(T$9:T$18)))))*S9))))</f>
        <v>30.901699437494745</v>
      </c>
      <c r="V9" s="22">
        <f>IF(T9=0,0,(T9+IF(F$4=0,0,IF(S9=0,(IF(F$4=0,0,SUM(SUM((S$9:S$18),SUM(T$9:T$18)))/SUM(ABS(SUM(S$9:S$18)),ABS(SUM(T$9:T$18)))))*T9,(IF(F$4=0,0,SUM(SUM((S$9:S$18),SUM(T$9:T$18)))/SUM(ABS(SUM(S$9:S$18)),ABS(SUM(T$9:T$18)))))*S9))))</f>
        <v>0</v>
      </c>
      <c r="W9" s="33">
        <f>IF((G$5+Q9+R9)-INT(G$5+Q9+R9)&gt;0.999,INT(G$5+Q9+R9)+1,G$5+Q9+R9)</f>
        <v>10095.105651629516</v>
      </c>
      <c r="X9" s="33">
        <f>IF((H$5+U9+V9)-INT(H$5+U9+V9)&gt;0.999,INT(H$5+U9+V9)+1,H$5+U9+V9)</f>
        <v>5030.901699437495</v>
      </c>
      <c r="Y9" s="60">
        <f>IF(H$6=0,(IF(C9=0,0,ABS(SIN(((((H9*100-(ABS(H9*100))+(ABS((H9-INT(H9))*100)/60)+INT(H9)))-270)*2)*PI()/180)/2*IF(AND(D9&lt;&gt;0,E9&lt;&gt;0),(E9-D9)*2/10,IF(AND(D9&lt;&gt;0,F9&lt;&gt;0),(F9-D9)/10,IF(AND(E9&lt;&gt;0,F9&lt;&gt;0),(F9-E9)*2/10,"?")))+C9-IF(E9=0,((F9-D9)/2+D9)/1000,E9/1000)+H$3))),(IF(C9=0,0,ABS(SIN(((((H9*100-(ABS(H9*100))+(ABS((H9-INT(H9))*100)/60)+INT(H9)))-270)*2)*PI()/180)/2*IF(AND(D9&lt;&gt;0,E9&lt;&gt;0),(E9-D9)*2/10,IF(AND(D9&lt;&gt;0,F9&lt;&gt;0),(F9-D9)/10,IF(AND(E9&lt;&gt;0,F9&lt;&gt;0),(F9-E9)*2/10,"?")))-C9+IF(E9=0,((F9-D9)/2+D9)/1000,E9/1000)-H$3))))</f>
        <v>800</v>
      </c>
      <c r="Z9" s="135">
        <f aca="true" t="shared" si="0" ref="Z9:Z18">IF(AND(D9&lt;&gt;0,E9&lt;&gt;0),SUMSQ(COS((((H9*100-(ABS(H9*100))+(ABS((H9-INT(H9))*100)/60)+INT(H9)))-270)*PI()/180))*(((E9-D9)*2)/10),IF(AND(F9&lt;&gt;0,E9&lt;&gt;0),SUMSQ(COS((((H9*100-(ABS(H9*100))+(ABS((H9-INT(H9))*100)/60)+INT(H9)))-270)*PI()/180))*(((F9-E9)*2)/10),IF(E9=0,SUMSQ(COS((((H9*100-(ABS(H9*100))+(ABS((H9-INT(H9))*100)/60)+INT(H9)))-270)*PI()/180))*((F9-D9)/10),"?")))+IF(AND(D9&lt;&gt;0,E9&lt;&gt;0,F9&lt;&gt;0,((E9-D9)*2)+D9&lt;&gt;F9),"?",0)</f>
        <v>100</v>
      </c>
      <c r="AA9" s="112" t="str">
        <f aca="true" t="shared" si="1" ref="AA9:AA15">CONCATENATE(INT(W9),".",IF((W9-INT(W9))*1000&lt;10,CONCATENATE(0,0,ROUND(ABS(W9-INT(W9))*1000,0)),IF((W9-INT(W9))*1000&lt;100,CONCATENATE(0,ROUND(ABS(W9-INT(W9))*1000,0)),ROUND((W9-INT(W9))*1000,0))),",",INT(X9),".",IF((X9-INT(X9))*1000&lt;10,CONCATENATE(0,0,ROUND(ABS(X9-INT(X9))*1000,0)),IF((X9-INT(X9))*1000&lt;100,CONCATENATE(0,ROUND(ABS(X9-INT(X9))*1000,0)),ROUND((X9-INT(X9))*1000,0))))</f>
        <v>10095.106,5030.902</v>
      </c>
      <c r="AB9" s="110" t="str">
        <f>CONCATENATE(INT(W9),".",IF((W9-INT(W9))*1000&lt;10,CONCATENATE(0,0,ROUND(ABS(W9-INT(W9))*1000,0)),IF((W9-INT(W9))*1000&lt;100,CONCATENATE(0,ROUND(ABS(W9-INT(W9))*1000,0)),ROUND((W9-INT(W9))*1000,0))),",",INT(X9),".",IF((X9-INT(X9))*1000&lt;10,CONCATENATE(0,0,ROUND(ABS(X9-INT(X9))*1000,0)),IF((X9-INT(X9))*1000&lt;100,CONCATENATE(0,ROUND(ABS(X9-INT(X9))*1000,0)),ROUND((X9-INT(X9))*1000,0))),",",INT(Y9),".",IF((Y9-INT(Y9))*1000&lt;9.99999,CONCATENATE(0,0,ROUND(ABS(Y9-INT(Y9))*1000,0)),IF((Y9-INT(Y9))*1000&lt;100,CONCATENATE(0,ROUND(ABS(Y9-INT(Y9))*1000,0)),ROUND((Y9-INT(Y9))*1000,0))))</f>
        <v>10095.106,5030.902,800.000</v>
      </c>
    </row>
    <row r="10" spans="1:28" s="40" customFormat="1" ht="15.75">
      <c r="A10" s="15"/>
      <c r="B10" s="4">
        <v>1</v>
      </c>
      <c r="C10" s="13">
        <f>C9</f>
        <v>1.5</v>
      </c>
      <c r="D10" s="4">
        <v>1000</v>
      </c>
      <c r="E10" s="4">
        <v>0</v>
      </c>
      <c r="F10" s="4">
        <v>1500</v>
      </c>
      <c r="G10" s="142">
        <v>252</v>
      </c>
      <c r="H10" s="6">
        <v>270</v>
      </c>
      <c r="I10" s="6"/>
      <c r="J10" s="37"/>
      <c r="K10" s="138">
        <f aca="true" t="shared" si="2" ref="K10:K18">INT(G10*SIGN(G10))+(VALUE(TEXT((G10*SIGN(G10)-INT(G10*SIGN(G10)))*100,0)))/60+VALUE(TEXT((((G10*SIGN(G10)-INT(G10*SIGN(G10)))*100)-VALUE(TEXT((G10*SIGN(G10)-INT(G10*SIGN(G10)))*100,0)))*100,"0,0000"))/3600-180</f>
        <v>72</v>
      </c>
      <c r="L10" s="31"/>
      <c r="M10" s="37">
        <f>IF(M$8+K10&lt;0,(M$8+K10)+360,M$8+K10)</f>
        <v>72</v>
      </c>
      <c r="N10" s="38"/>
      <c r="O10" s="10"/>
      <c r="P10" s="10"/>
      <c r="Q10" s="10">
        <f>(IF(AND(M10&gt;=0,M10&lt;90),SIN(M10*PI()/180)*Z10,IF(AND(M10&gt;=90,M10&lt;180),SIN((180-M10)*PI()/180)*Z10,IF(AND(M10&gt;=180,M10&lt;270),0,IF(AND(M10&gt;=270,M10&lt;360),0,IF(AND(M10&gt;=360,M10&lt;450),SIN((M10-360)*PI()/180)*Z10,IF(AND(M10&gt;=450,M10&lt;540),SIN((540-M10)*PI()/180)*Z10,IF(AND(M10&gt;=540,M10&lt;630),0,)))))))+IF(AND(M10&gt;=630,M10&lt;720),0,IF(AND(M10&gt;=720,M10&lt;810),SIN((M10-720)*PI()/180)*Z10,IF(AND(M10&gt;=810,M10&lt;900),SIN((900-M10)*PI()/180)*Z10,IF(AND(M10&gt;=900,M10&lt;990),0,IF(AND(M10&gt;=990,M10&lt;1080),0))))))</f>
        <v>47.552825814757675</v>
      </c>
      <c r="R10" s="10">
        <f>IF(AND(M10&gt;=0,M10&lt;90),0,IF(AND(M10&gt;=90,M10&lt;180),0,IF(AND(M10&gt;=180,M10&lt;270),SIN((M10-180)*PI()/180)*Z10*-1,IF(AND(M10&gt;=270,M10&lt;360),SIN((360-M10)*PI()/180)*Z10*-1,IF(AND(M10&gt;=360,M10&lt;450),0,IF(AND(M10&gt;=450,M10&lt;540),0,))))))+IF(AND(M10&gt;=540,M10&lt;630),SIN((M10-540)*PI()/180)*Z10*-1,IF(AND(M10&gt;=630,M10&lt;720),SIN((720-M10)*PI()/180)*Z10*-1,IF(AND(M10&gt;=720,M10&lt;810),0,IF(AND(M10&gt;=810,M10&lt;900),0,IF(AND(M10&gt;=900,M10&lt;990),SIN((990-M10)*PI()/180)*Z10*-1,IF(AND(M10&gt;=990,M10&lt;1080),SIN((1080-M10)*PI()/180)*Z10*-1))))))</f>
        <v>0</v>
      </c>
      <c r="S10" s="10"/>
      <c r="T10" s="10"/>
      <c r="U10" s="10">
        <f>IF(AND(M10&gt;=0,M10&lt;90),COS((M10)*PI()/180)*Z10,IF(AND(M10&gt;=90,M10&lt;180),0,IF(AND(M10&gt;=180,M10&lt;270),0,IF(AND(M10&gt;=270,M10&lt;360),COS((360-M10)*PI()/180)*Z10,IF(AND(M10&gt;=360,M10&lt;450),COS((M10-360)*PI()/180)*Z10,IF(AND(M10&gt;=450,M10&lt;540),0,IF(AND(M10&gt;=540,M10&lt;630),0,)))))))+IF(AND(M10&gt;=630,M10&lt;720),COS((720-M10)*PI()/180)*Z10,IF(AND(M10&gt;=720,M10&lt;810),COS((M10-720)*PI()/180)*Z10,IF(AND(M10&gt;=810,M10&lt;900),0,IF(AND(M10&gt;=900,M10&lt;990),0,IF(AND(M10&gt;=990,M10&lt;1080),COS((1080-M10)*PI()/180)*Z10)))))</f>
        <v>15.450849718747373</v>
      </c>
      <c r="V10" s="10">
        <f>IF(AND(M10&gt;=0,M10&lt;90),0,IF(AND(M10&gt;=90,M10&lt;180),COS((180-M10)*PI()/180)*Z10*-1,IF(AND(M10&gt;=180,M10&lt;270),COS((M10-180)*PI()/180)*Z10*-1,IF(AND(M10&gt;=270,M10&lt;360),0,IF(AND(M10&gt;=360,M10&lt;450),0,IF(AND(M10&gt;=450,M10&lt;540),COS((540-M10)*PI()/180)*Z10*-1,))))))+IF(AND(M10&gt;=540,M10&lt;630),COS((M10-540)*PI()/180)*Z10*-1,IF(AND(M10&gt;=630,M10&lt;720),0,IF(AND(M10&gt;=720,M10&lt;810),0,IF(AND(M10&gt;=810,M10&lt;900),COS((900-M10)*PI()/180)*Z10*-1,IF(AND(M10&gt;=900,M10&lt;990),COS((990-M10)*PI()/180)*Z10*-1,IF(AND(M10&gt;=990,M10&lt;1080),0))))))</f>
        <v>0</v>
      </c>
      <c r="W10" s="10">
        <f>IF((G$5+Q10+R10)-INT(G$5+Q10+R10)&gt;0.999,INT(G$5+Q10+R10)+1,G$5+Q10+R10)</f>
        <v>10047.552825814757</v>
      </c>
      <c r="X10" s="10">
        <f>IF((H$5+U10+V10)-INT(H$5+U10+V10)&gt;0.999,INT(H$5+U10+V10)+1,H$5+U10+V10)</f>
        <v>5015.450849718747</v>
      </c>
      <c r="Y10" s="39">
        <f>IF(H$6=0,(IF(C10=0,0,ABS(SIN(((((H10*100-(ABS(H10*100))+(ABS((H10-INT(H10))*100)/60)+INT(H10)))-270)*2)*PI()/180)/2*IF(AND(D10&lt;&gt;0,E10&lt;&gt;0),(E10-D10)*2/10,IF(AND(D10&lt;&gt;0,F10&lt;&gt;0),(F10-D10)/10,IF(AND(E10&lt;&gt;0,F10&lt;&gt;0),(F10-E10)*2/10,"?")))+C10-IF(E10=0,((F10-D10)/2+D10)/1000,E10/1000)+H$3))),(IF(C10=0,0,ABS(SIN(((((H10*100-(ABS(H10*100))+(ABS((H10-INT(H10))*100)/60)+INT(H10)))-270)*2)*PI()/180)/2*IF(AND(D10&lt;&gt;0,E10&lt;&gt;0),(E10-D10)*2/10,IF(AND(D10&lt;&gt;0,F10&lt;&gt;0),(F10-D10)/10,IF(AND(E10&lt;&gt;0,F10&lt;&gt;0),(F10-E10)*2/10,"?")))-C10+IF(E10=0,((F10-D10)/2+D10)/1000,E10/1000)-H$3))))</f>
        <v>800.25</v>
      </c>
      <c r="Z10" s="136">
        <f t="shared" si="0"/>
        <v>50</v>
      </c>
      <c r="AA10" s="112" t="str">
        <f t="shared" si="1"/>
        <v>10047.553,5015.451</v>
      </c>
      <c r="AB10" s="110" t="str">
        <f aca="true" t="shared" si="3" ref="AB10:AB15">CONCATENATE(INT(W10),".",IF((W10-INT(W10))*1000&lt;10,CONCATENATE(0,0,ROUND(ABS(W10-INT(W10))*1000,0)),IF((W10-INT(W10))*1000&lt;100,CONCATENATE(0,ROUND(ABS(W10-INT(W10))*1000,0)),ROUND((W10-INT(W10))*1000,0))),",",INT(X10),".",IF((X10-INT(X10))*1000&lt;10,CONCATENATE(0,0,ROUND(ABS(X10-INT(X10))*1000,0)),IF((X10-INT(X10))*1000&lt;100,CONCATENATE(0,ROUND(ABS(X10-INT(X10))*1000,0)),ROUND((X10-INT(X10))*1000,0))),",",INT(Y10),".",IF((Y10-INT(Y10))*1000&lt;9.99999,CONCATENATE(0,0,ROUND(ABS(Y10-INT(Y10))*1000,0)),IF((Y10-INT(Y10))*1000&lt;100,CONCATENATE(0,ROUND(ABS(Y10-INT(Y10))*1000,0)),ROUND((Y10-INT(Y10))*1000,0))))</f>
        <v>10047.553,5015.451,800.250</v>
      </c>
    </row>
    <row r="11" spans="1:28" s="35" customFormat="1" ht="15.75">
      <c r="A11" s="16" t="s">
        <v>20</v>
      </c>
      <c r="B11" s="5" t="s">
        <v>21</v>
      </c>
      <c r="C11" s="14">
        <v>1.5</v>
      </c>
      <c r="D11" s="5">
        <v>1000</v>
      </c>
      <c r="E11" s="5">
        <v>0</v>
      </c>
      <c r="F11" s="5">
        <v>2000</v>
      </c>
      <c r="G11" s="3">
        <v>252</v>
      </c>
      <c r="H11" s="8">
        <v>270</v>
      </c>
      <c r="I11" s="7" t="s">
        <v>21</v>
      </c>
      <c r="J11" s="36">
        <f>K11</f>
        <v>72</v>
      </c>
      <c r="K11" s="139">
        <f t="shared" si="2"/>
        <v>72</v>
      </c>
      <c r="L11" s="31">
        <f>J11-(IF(F$4=0,0,(IF(SUM(J$9:J$18)&gt;0,SUM(J$9:J$18)-360,SUM(J$9:J$18)+360))/C$3))</f>
        <v>72</v>
      </c>
      <c r="M11" s="36">
        <f>IF(M9+K11&lt;=0,(M9+K11)+360,M9+K11)</f>
        <v>144</v>
      </c>
      <c r="N11" s="32">
        <f>Z11</f>
        <v>100</v>
      </c>
      <c r="O11" s="33">
        <f>(IF(AND(M11&gt;=0,M11&lt;90),SIN(M11*PI()/180)*N11,IF(AND(M11&gt;=90,M11&lt;180),SIN((180-M11)*PI()/180)*N11,IF(AND(M11&gt;=180,M11&lt;270),0,IF(AND(M11&gt;=270,M11&lt;360),0,IF(AND(M11&gt;=360,M11&lt;450),SIN((M11-360)*PI()/180)*N11,IF(AND(M11&gt;=450,M11&lt;540),SIN((540-M11)*PI()/180)*N11,IF(AND(M11&gt;=540,M11&lt;630),0,)))))))+IF(AND(M11&gt;=630,M11&lt;720),0,IF(AND(M11&gt;=720,M11&lt;810),SIN((M11-720)*PI()/180)*N11,IF(AND(M11&gt;=810,M11&lt;900),SIN((900-M11)*PI()/180)*N11,IF(AND(M11&gt;=900,M11&lt;990),0,IF(AND(M11&gt;=990,M11&lt;1080),0))))))</f>
        <v>58.778525229247315</v>
      </c>
      <c r="P11" s="33">
        <f>IF(AND(M11&gt;=0,M11&lt;90),0,IF(AND(M11&gt;=90,M11&lt;180),0,IF(AND(M11&gt;=180,M11&lt;270),SIN((M11-180)*PI()/180)*N11*-1,IF(AND(M11&gt;=270,M11&lt;360),SIN((360-M11)*PI()/180)*N11*-1,IF(AND(M11&gt;=360,M11&lt;450),0,IF(AND(M11&gt;=450,M11&lt;540),0,))))))+IF(AND(M11&gt;=540,M11&lt;630),SIN((M11-540)*PI()/180)*N11*-1,IF(AND(M11&gt;=630,M11&lt;720),SIN((720-M11)*PI()/180)*N11*-1,IF(AND(M11&gt;=720,M11&lt;810),0,IF(AND(M11&gt;=810,M11&lt;900),0,IF(AND(M11&gt;=900,M11&lt;990),SIN((990-M11)*PI()/180)*N11*-1,IF(AND(M11&gt;=990,M11&lt;1080),SIN((1080-M11)*PI()/180)*N11*-1))))))</f>
        <v>0</v>
      </c>
      <c r="Q11" s="22">
        <f>IF(O11=0,0,(O11-IF(F$4=0,0,IF(O11=0,(IF(F$4=0,0,SUM(SUM(O$9:O$18),SUM(P$9:P$18))/SUM(ABS(SUM(O$9:O$18)),ABS(SUM(P$9:P$18)))))*P11,(IF(F$4=0,0,SUM(SUM(O$9:O$18),SUM(P$9:P$18))/SUM(ABS(SUM(O$9:O$18)),ABS(SUM(P$9:P$18)))))*O11))))</f>
        <v>58.778525229247315</v>
      </c>
      <c r="R11" s="22">
        <f>IF(P11=0,0,(P11+IF(F$4=0,0,IF(O11=0,(IF(F$4=0,0,SUM(SUM(O$9:O$18),SUM(P$9:P$18))/SUM(ABS(SUM(O$9:O$18)),ABS(SUM(P$9:P$18)))))*P11,(IF(F$4=0,0,SUM(SUM(O$9:O$18),SUM(P$9:P$18))/SUM(ABS(SUM(O$9:O$18)),ABS(SUM(P$9:P$18)))))*O11))))</f>
        <v>0</v>
      </c>
      <c r="S11" s="33">
        <f>IF(AND(M11&gt;=0,M11&lt;90),COS(M11*PI()/180)*N11,IF(AND(M11&gt;=90,M11&lt;180),0,IF(AND(M11&gt;=180,M11&lt;270),0,IF(AND(M11&gt;=270,M11&lt;360),COS((360-M11)*PI()/180)*N11,IF(AND(M11&gt;=360,M11&lt;450),COS((M11-360)*PI()/180)*N11,IF(AND(M11&gt;=450,M11&lt;540),0,IF(AND(M11&gt;=540,M11&lt;630),0,)))))))+IF(AND(M11&gt;=630,M11&lt;720),COS((720-M11)*PI()/180)*N11,IF(AND(M11&gt;=720,M11&lt;810),COS((M11-720)*PI()/180)*N11,IF(AND(M11&gt;=810,M11&lt;900),0,IF(AND(M11&gt;=900,M11&lt;990),0,IF(AND(M11&gt;=990,M11&lt;1080),COS((1080-M11)*PI()/180)*N11)))))</f>
        <v>0</v>
      </c>
      <c r="T11" s="33">
        <f>IF(AND(M11&gt;=0,M11&lt;90),0,IF(AND(M11&gt;=90,M11&lt;180),COS((180-M11)*PI()/180)*N11*-1,IF(AND(M11&gt;=180,M11&lt;270),COS((M11-180)*PI()/180)*N11*-1,IF(AND(M11&gt;=270,M11&lt;360),0,IF(AND(M11&gt;=360,M11&lt;450),0,IF(AND(M11&gt;=450,M11&lt;540),COS((540-M11)*PI()/180)*N11*-1))))))+IF(AND(M11&gt;=540,M11&lt;630),COS((M11-540)*PI()/180)*N11*-1,IF(AND(M11&gt;=630,M11&lt;720),0,IF(AND(M11&gt;=720,M11&lt;810),0,IF(AND(M11&gt;=810,M11&lt;900),COS((900-M11)*PI()/180)*N11*-1,IF(AND(M11&gt;=900,M11&lt;990),COS((990-M11)*PI()/180)*N11*-1,IF(AND(M11&gt;=990,M11&lt;1080),0))))))</f>
        <v>-80.90169943749474</v>
      </c>
      <c r="U11" s="22">
        <f>IF(S11=0,0,(S11-IF(F$4=0,0,IF(S11=0,(IF(F$4=0,0,SUM(SUM((S$9:S$18),SUM(T$9:T$18)))/SUM(ABS(SUM(S$9:S$18)),ABS(SUM(T$9:T$18)))))*T11,(IF(F$4=0,0,SUM(SUM((S$9:S$18),SUM(T$9:T$18)))/SUM(ABS(SUM(S$9:S$18)),ABS(SUM(T$9:T$18)))))*S11))))</f>
        <v>0</v>
      </c>
      <c r="V11" s="22">
        <f>IF(T11=0,0,(T11+IF(F$4=0,0,IF(S11=0,(IF(F$4=0,0,SUM(SUM((S$9:S$18),SUM(T$9:T$18)))/SUM(ABS(SUM(S$9:S$18)),ABS(SUM(T$9:T$18)))))*T11,(IF(F$4=0,0,SUM(SUM((S$9:S$18),SUM(T$9:T$18)))/SUM(ABS(SUM(S$9:S$18)),ABS(SUM(T$9:T$18)))))*S11))))</f>
        <v>-80.90169943749474</v>
      </c>
      <c r="W11" s="33">
        <f>IF((W$9+Q11+R11)-INT(W$9+Q11+R11)&gt;0.999,INT(W$9+Q11+R11)+1,W$9+Q11+R11)</f>
        <v>10153.884176858763</v>
      </c>
      <c r="X11" s="33">
        <f>IF((X$9+U11+V11)-INT(X$9+U11+V11)&gt;0.999,INT(X$9+U11+V11)+1,X$9+U11+V11)</f>
        <v>4950</v>
      </c>
      <c r="Y11" s="34">
        <f>IF(H$6=0,(IF(C11=0,0,ABS(SIN(((((H11*100-(ABS(H11*100))+(ABS((H11-INT(H11))*100)/60)+INT(H11)))-270)*2)*PI()/180)/2*IF(AND(D11&lt;&gt;0,E11&lt;&gt;0),(E11-D11)*2/10,IF(AND(D11&lt;&gt;0,F11&lt;&gt;0),(F11-D11)/10,IF(AND(E11&lt;&gt;0,F11&lt;&gt;0),(F11-E11)*2/10,"?")))+C11-IF(E11=0,((F11-D11)/2+D11)/1000,E11/1000)+Y$9))),(IF(C11=0,0,ABS(SIN(((((H11*100-(ABS(H11*100))+(ABS((H11-INT(H11))*100)/60)+INT(H11)))-270)*2)*PI()/180)/2*IF(AND(D11&lt;&gt;0,E11&lt;&gt;0),(E11-D11)*2/10,IF(AND(D11&lt;&gt;0,F11&lt;&gt;0),(F11-D11)/10,IF(AND(E11&lt;&gt;0,F11&lt;&gt;0),(F11-E11)*2/10,"?")))-C11+IF(E11=0,((F11-D11)/2+D11)/1000,E11/1000)-Y$9))))</f>
        <v>800</v>
      </c>
      <c r="Z11" s="137">
        <f t="shared" si="0"/>
        <v>100</v>
      </c>
      <c r="AA11" s="112" t="str">
        <f t="shared" si="1"/>
        <v>10153.884,4950.000</v>
      </c>
      <c r="AB11" s="110" t="str">
        <f t="shared" si="3"/>
        <v>10153.884,4950.000,800.000</v>
      </c>
    </row>
    <row r="12" spans="1:28" s="40" customFormat="1" ht="15.75">
      <c r="A12" s="15"/>
      <c r="B12" s="4">
        <v>1</v>
      </c>
      <c r="C12" s="13">
        <f>C11</f>
        <v>1.5</v>
      </c>
      <c r="D12" s="5">
        <v>1000</v>
      </c>
      <c r="E12" s="4">
        <v>0</v>
      </c>
      <c r="F12" s="4">
        <v>1500</v>
      </c>
      <c r="G12" s="142">
        <v>252</v>
      </c>
      <c r="H12" s="6">
        <v>270</v>
      </c>
      <c r="I12" s="6"/>
      <c r="J12" s="37"/>
      <c r="K12" s="138">
        <f t="shared" si="2"/>
        <v>72</v>
      </c>
      <c r="L12" s="31"/>
      <c r="M12" s="37">
        <f>IF(M$9+K12&lt;0,(M$9+K12)+360,M$9+K12)</f>
        <v>144</v>
      </c>
      <c r="N12" s="38"/>
      <c r="O12" s="10"/>
      <c r="P12" s="10"/>
      <c r="Q12" s="10">
        <f>(IF(AND(M12&gt;=0,M12&lt;90),SIN(M12*PI()/180)*Z12,IF(AND(M12&gt;=90,M12&lt;180),SIN((180-M12)*PI()/180)*Z12,IF(AND(M12&gt;=180,M12&lt;270),0,IF(AND(M12&gt;=270,M12&lt;360),0,IF(AND(M12&gt;=360,M12&lt;450),SIN((M12-360)*PI()/180)*Z12,IF(AND(M12&gt;=450,M12&lt;540),SIN((540-M12)*PI()/180)*Z12,IF(AND(M12&gt;=540,M12&lt;630),0,)))))))+IF(AND(M12&gt;=630,M12&lt;720),0,IF(AND(M12&gt;=720,M12&lt;810),SIN((M12-720)*PI()/180)*Z12,IF(AND(M12&gt;=810,M12&lt;900),SIN((900-M12)*PI()/180)*Z12,IF(AND(M12&gt;=900,M12&lt;990),0,IF(AND(M12&gt;=990,M12&lt;1080),0))))))</f>
        <v>29.389262614623657</v>
      </c>
      <c r="R12" s="10">
        <f>IF(AND(M12&gt;=0,M12&lt;90),0,IF(AND(M12&gt;=90,M12&lt;180),0,IF(AND(M12&gt;=180,M12&lt;270),SIN((M12-180)*PI()/180)*Z12*-1,IF(AND(M12&gt;=270,M12&lt;360),SIN((360-M12)*PI()/180)*Z12*-1,IF(AND(M12&gt;=360,M12&lt;450),0,IF(AND(M12&gt;=450,M12&lt;540),0,))))))+IF(AND(M12&gt;=540,M12&lt;630),SIN((M12-540)*PI()/180)*Z12*-1,IF(AND(M12&gt;=630,M12&lt;720),SIN((720-M12)*PI()/180)*Z12*-1,IF(AND(M12&gt;=720,M12&lt;810),0,IF(AND(M12&gt;=810,M12&lt;900),0,IF(AND(M12&gt;=900,M12&lt;990),SIN((990-M12)*PI()/180)*Z12*-1,IF(AND(M12&gt;=990,M12&lt;1080),SIN((1080-M12)*PI()/180)*Z12*-1))))))</f>
        <v>0</v>
      </c>
      <c r="S12" s="10"/>
      <c r="T12" s="10"/>
      <c r="U12" s="10">
        <f>IF(AND(M12&gt;=0,M12&lt;90),COS((M12)*PI()/180)*Z12,IF(AND(M12&gt;=90,M12&lt;180),0,IF(AND(M12&gt;=180,M12&lt;270),0,IF(AND(M12&gt;=270,M12&lt;360),COS((360-M12)*PI()/180)*Z12,IF(AND(M12&gt;=360,M12&lt;450),COS((M12-360)*PI()/180)*Z12,IF(AND(M12&gt;=450,M12&lt;540),0,IF(AND(M12&gt;=540,M12&lt;630),0,)))))))+IF(AND(M12&gt;=630,M12&lt;720),COS((720-M12)*PI()/180)*Z12,IF(AND(M12&gt;=720,M12&lt;810),COS((M12-720)*PI()/180)*Z12,IF(AND(M12&gt;=810,M12&lt;900),0,IF(AND(M12&gt;=900,M12&lt;990),0,IF(AND(M12&gt;=990,M12&lt;1080),COS((1080-M12)*PI()/180)*Z12)))))</f>
        <v>0</v>
      </c>
      <c r="V12" s="10">
        <f>IF(AND(M12&gt;=0,M12&lt;90),0,IF(AND(M12&gt;=90,M12&lt;180),COS((180-M12)*PI()/180)*Z12*-1,IF(AND(M12&gt;=180,M12&lt;270),COS((M12-180)*PI()/180)*Z12*-1,IF(AND(M12&gt;=270,M12&lt;360),0,IF(AND(M12&gt;=360,M12&lt;450),0,IF(AND(M12&gt;=450,M12&lt;540),COS((540-M12)*PI()/180)*Z12*-1,))))))+IF(AND(M12&gt;=540,M12&lt;630),COS((M12-540)*PI()/180)*Z12*-1,IF(AND(M12&gt;=630,M12&lt;720),0,IF(AND(M12&gt;=720,M12&lt;810),0,IF(AND(M12&gt;=810,M12&lt;900),COS((900-M12)*PI()/180)*Z12*-1,IF(AND(M12&gt;=900,M12&lt;990),COS((990-M12)*PI()/180)*Z12*-1,IF(AND(M12&gt;=990,M12&lt;1080),0))))))</f>
        <v>-40.45084971874737</v>
      </c>
      <c r="W12" s="10">
        <f>IF((W$9+Q12+R12)-INT(W$9+Q12+R12)&gt;0.999,INT(W$9+Q12+R12)+1,W$9+Q12+R12)</f>
        <v>10124.49491424414</v>
      </c>
      <c r="X12" s="10">
        <f>IF((X$9+U12+V12)-INT(X$9+U12+V12)&gt;0.999,INT(X$9+U12+V12)+1,X$9+U12+V12)</f>
        <v>4990.450849718748</v>
      </c>
      <c r="Y12" s="39">
        <f>IF(H$6=0,(IF(C12=0,0,ABS(SIN(((((H12*100-(ABS(H12*100))+(ABS((H12-INT(H12))*100)/60)+INT(H12)))-270)*2)*PI()/180)/2*IF(AND(D12&lt;&gt;0,E12&lt;&gt;0),(E12-D12)*2/10,IF(AND(D12&lt;&gt;0,F12&lt;&gt;0),(F12-D12)/10,IF(AND(E12&lt;&gt;0,F12&lt;&gt;0),(F12-E12)*2/10,"?")))+C12-IF(E12=0,((F12-D12)/2+D12)/1000,E12/1000)+Y$9))),(IF(C12=0,0,ABS(SIN(((((H12*100-(ABS(H12*100))+(ABS((H12-INT(H12))*100)/60)+INT(H12)))-270)*2)*PI()/180)/2*IF(AND(D12&lt;&gt;0,E12&lt;&gt;0),(E12-D12)*2/10,IF(AND(D12&lt;&gt;0,F12&lt;&gt;0),(F12-D12)/10,IF(AND(E12&lt;&gt;0,F12&lt;&gt;0),(F12-E12)*2/10,"?")))-C12+IF(E12=0,((F12-D12)/2+D12)/1000,E12/1000)-Y$9))))</f>
        <v>800.25</v>
      </c>
      <c r="Z12" s="136">
        <f t="shared" si="0"/>
        <v>50</v>
      </c>
      <c r="AA12" s="112" t="str">
        <f t="shared" si="1"/>
        <v>10124.495,4990.451</v>
      </c>
      <c r="AB12" s="110" t="str">
        <f t="shared" si="3"/>
        <v>10124.495,4990.451,800.250</v>
      </c>
    </row>
    <row r="13" spans="1:28" s="35" customFormat="1" ht="15.75">
      <c r="A13" s="16" t="s">
        <v>21</v>
      </c>
      <c r="B13" s="5" t="s">
        <v>22</v>
      </c>
      <c r="C13" s="14">
        <v>1.5</v>
      </c>
      <c r="D13" s="5">
        <v>1000</v>
      </c>
      <c r="E13" s="5">
        <v>0</v>
      </c>
      <c r="F13" s="5">
        <v>2000</v>
      </c>
      <c r="G13" s="3">
        <v>252</v>
      </c>
      <c r="H13" s="8">
        <v>270</v>
      </c>
      <c r="I13" s="7" t="s">
        <v>22</v>
      </c>
      <c r="J13" s="36">
        <f>K13</f>
        <v>72</v>
      </c>
      <c r="K13" s="139">
        <f t="shared" si="2"/>
        <v>72</v>
      </c>
      <c r="L13" s="31">
        <f>J13-(IF(F$4=0,0,(IF(SUM(J$9:J$18)&gt;0,SUM(J$9:J$18)-360,SUM(J$9:J$18)+360))/C$3))</f>
        <v>72</v>
      </c>
      <c r="M13" s="36">
        <f>IF(M11+K13&lt;=0,(M11+K13)+360,M11+K13)</f>
        <v>216</v>
      </c>
      <c r="N13" s="32">
        <f>Z13</f>
        <v>100</v>
      </c>
      <c r="O13" s="33">
        <f>(IF(AND(M13&gt;=0,M13&lt;90),SIN(M13*PI()/180)*N13,IF(AND(M13&gt;=90,M13&lt;180),SIN((180-M13)*PI()/180)*N13,IF(AND(M13&gt;=180,M13&lt;270),0,IF(AND(M13&gt;=270,M13&lt;360),0,IF(AND(M13&gt;=360,M13&lt;450),SIN((M13-360)*PI()/180)*N13,IF(AND(M13&gt;=450,M13&lt;540),SIN((540-M13)*PI()/180)*N13,IF(AND(M13&gt;=540,M13&lt;630),0,)))))))+IF(AND(M13&gt;=630,M13&lt;720),0,IF(AND(M13&gt;=720,M13&lt;810),SIN((M13-720)*PI()/180)*N13,IF(AND(M13&gt;=810,M13&lt;900),SIN((900-M13)*PI()/180)*N13,IF(AND(M13&gt;=900,M13&lt;990),0,IF(AND(M13&gt;=990,M13&lt;1080),0))))))</f>
        <v>0</v>
      </c>
      <c r="P13" s="33">
        <f>IF(AND(M13&gt;=0,M13&lt;90),0,IF(AND(M13&gt;=90,M13&lt;180),0,IF(AND(M13&gt;=180,M13&lt;270),SIN((M13-180)*PI()/180)*N13*-1,IF(AND(M13&gt;=270,M13&lt;360),SIN((360-M13)*PI()/180)*N13*-1,IF(AND(M13&gt;=360,M13&lt;450),0,IF(AND(M13&gt;=450,M13&lt;540),0,))))))+IF(AND(M13&gt;=540,M13&lt;630),SIN((M13-540)*PI()/180)*N13*-1,IF(AND(M13&gt;=630,M13&lt;720),SIN((720-M13)*PI()/180)*N13*-1,IF(AND(M13&gt;=720,M13&lt;810),0,IF(AND(M13&gt;=810,M13&lt;900),0,IF(AND(M13&gt;=900,M13&lt;990),SIN((990-M13)*PI()/180)*N13*-1,IF(AND(M13&gt;=990,M13&lt;1080),SIN((1080-M13)*PI()/180)*N13*-1))))))</f>
        <v>-58.778525229247315</v>
      </c>
      <c r="Q13" s="22">
        <f>IF(O13=0,0,(O13-IF(F$4=0,0,IF(O13=0,(IF(F$4=0,0,SUM(SUM(O$9:O$18),SUM(P$9:P$18))/SUM(ABS(SUM(O$9:O$18)),ABS(SUM(P$9:P$18)))))*P13,(IF(F$4=0,0,SUM(SUM(O$9:O$18),SUM(P$9:P$18))/SUM(ABS(SUM(O$9:O$18)),ABS(SUM(P$9:P$18)))))*O13))))</f>
        <v>0</v>
      </c>
      <c r="R13" s="22">
        <f>IF(P13=0,0,(P13+IF(F$4=0,0,IF(O13=0,(IF(F$4=0,0,SUM(SUM(O$9:O$18),SUM(P$9:P$18))/SUM(ABS(SUM(O$9:O$18)),ABS(SUM(P$9:P$18)))))*P13,(IF(F$4=0,0,SUM(SUM(O$9:O$18),SUM(P$9:P$18))/SUM(ABS(SUM(O$9:O$18)),ABS(SUM(P$9:P$18)))))*O13))))</f>
        <v>-58.778525229247315</v>
      </c>
      <c r="S13" s="33">
        <f>IF(AND(M13&gt;=0,M13&lt;90),COS(M13*PI()/180)*N13,IF(AND(M13&gt;=90,M13&lt;180),0,IF(AND(M13&gt;=180,M13&lt;270),0,IF(AND(M13&gt;=270,M13&lt;360),COS((360-M13)*PI()/180)*N13,IF(AND(M13&gt;=360,M13&lt;450),COS((M13-360)*PI()/180)*N13,IF(AND(M13&gt;=450,M13&lt;540),0,IF(AND(M13&gt;=540,M13&lt;630),0,)))))))+IF(AND(M13&gt;=630,M13&lt;720),COS((720-M13)*PI()/180)*N13,IF(AND(M13&gt;=720,M13&lt;810),COS((M13-720)*PI()/180)*N13,IF(AND(M13&gt;=810,M13&lt;900),0,IF(AND(M13&gt;=900,M13&lt;990),0,IF(AND(M13&gt;=990,M13&lt;1080),COS((1080-M13)*PI()/180)*N13)))))</f>
        <v>0</v>
      </c>
      <c r="T13" s="33">
        <f>IF(AND(M13&gt;=0,M13&lt;90),0,IF(AND(M13&gt;=90,M13&lt;180),COS((180-M13)*PI()/180)*N13*-1,IF(AND(M13&gt;=180,M13&lt;270),COS((M13-180)*PI()/180)*N13*-1,IF(AND(M13&gt;=270,M13&lt;360),0,IF(AND(M13&gt;=360,M13&lt;450),0,IF(AND(M13&gt;=450,M13&lt;540),COS((540-M13)*PI()/180)*N13*-1))))))+IF(AND(M13&gt;=540,M13&lt;630),COS((M13-540)*PI()/180)*N13*-1,IF(AND(M13&gt;=630,M13&lt;720),0,IF(AND(M13&gt;=720,M13&lt;810),0,IF(AND(M13&gt;=810,M13&lt;900),COS((900-M13)*PI()/180)*N13*-1,IF(AND(M13&gt;=900,M13&lt;990),COS((990-M13)*PI()/180)*N13*-1,IF(AND(M13&gt;=990,M13&lt;1080),0))))))</f>
        <v>-80.90169943749474</v>
      </c>
      <c r="U13" s="22">
        <f>IF(S13=0,0,(S13-IF(F$4=0,0,IF(S13=0,(IF(F$4=0,0,SUM(SUM((S$9:S$18),SUM(T$9:T$18)))/SUM(ABS(SUM(S$9:S$18)),ABS(SUM(T$9:T$18)))))*T13,(IF(F$4=0,0,SUM(SUM((S$9:S$18),SUM(T$9:T$18)))/SUM(ABS(SUM(S$9:S$18)),ABS(SUM(T$9:T$18)))))*S13))))</f>
        <v>0</v>
      </c>
      <c r="V13" s="22">
        <f>IF(T13=0,0,(T13+IF(F$4=0,0,IF(S13=0,(IF(F$4=0,0,SUM(SUM((S$9:S$18),SUM(T$9:T$18)))/SUM(ABS(SUM(S$9:S$18)),ABS(SUM(T$9:T$18)))))*T13,(IF(F$4=0,0,SUM(SUM((S$9:S$18),SUM(T$9:T$18)))/SUM(ABS(SUM(S$9:S$18)),ABS(SUM(T$9:T$18)))))*S13))))</f>
        <v>-80.90169943749474</v>
      </c>
      <c r="W13" s="33">
        <f>IF((W$11+Q13+R13)-INT(W$11+Q13+R13)&gt;0.999,INT(W$11+Q13+R13)+1,W$11+Q13+R13)</f>
        <v>10095.105651629516</v>
      </c>
      <c r="X13" s="33">
        <f>IF((X$11+U13+V13)-INT(X$11+U13+V13)&gt;0.999,INT(X$11+U13+V13)+1,X$11+U13+V13)</f>
        <v>4869.098300562505</v>
      </c>
      <c r="Y13" s="34">
        <f>IF(H$6=0,(IF(C13=0,0,ABS(SIN(((((H13*100-(ABS(H13*100))+(ABS((H13-INT(H13))*100)/60)+INT(H13)))-270)*2)*PI()/180)/2*IF(AND(D13&lt;&gt;0,E13&lt;&gt;0),(E13-D13)*2/10,IF(AND(D13&lt;&gt;0,F13&lt;&gt;0),(F13-D13)/10,IF(AND(E13&lt;&gt;0,F13&lt;&gt;0),(F13-E13)*2/10,"?")))+C13-IF(E13=0,((F13-D13)/2+D13)/1000,E13/1000)+Y$11))),(IF(C13=0,0,ABS(SIN(((((H13*100-(ABS(H13*100))+(ABS((H13-INT(H13))*100)/60)+INT(H13)))-270)*2)*PI()/180)/2*IF(AND(D13&lt;&gt;0,E13&lt;&gt;0),(E13-D13)*2/10,IF(AND(D13&lt;&gt;0,F13&lt;&gt;0),(F13-D13)/10,IF(AND(E13&lt;&gt;0,F13&lt;&gt;0),(F13-E13)*2/10,"?")))-C13+IF(E13=0,((F13-D13)/2+D13)/1000,E13/1000)-Y$11))))</f>
        <v>800</v>
      </c>
      <c r="Z13" s="137">
        <f t="shared" si="0"/>
        <v>100</v>
      </c>
      <c r="AA13" s="112" t="str">
        <f t="shared" si="1"/>
        <v>10095.106,4869.098</v>
      </c>
      <c r="AB13" s="110" t="str">
        <f t="shared" si="3"/>
        <v>10095.106,4869.098,800.000</v>
      </c>
    </row>
    <row r="14" spans="1:28" s="40" customFormat="1" ht="15.75">
      <c r="A14" s="15"/>
      <c r="B14" s="4">
        <v>1</v>
      </c>
      <c r="C14" s="13">
        <f>C13</f>
        <v>1.5</v>
      </c>
      <c r="D14" s="4">
        <v>1000</v>
      </c>
      <c r="E14" s="4">
        <v>0</v>
      </c>
      <c r="F14" s="4">
        <v>1500</v>
      </c>
      <c r="G14" s="142">
        <v>252</v>
      </c>
      <c r="H14" s="6">
        <v>270</v>
      </c>
      <c r="I14" s="6"/>
      <c r="J14" s="37"/>
      <c r="K14" s="138">
        <f t="shared" si="2"/>
        <v>72</v>
      </c>
      <c r="L14" s="31"/>
      <c r="M14" s="37">
        <f>IF(M$11+K14&lt;0,(M$11+K14)+360,M$11+K14)</f>
        <v>216</v>
      </c>
      <c r="N14" s="38"/>
      <c r="O14" s="10"/>
      <c r="P14" s="10"/>
      <c r="Q14" s="10">
        <f>(IF(AND(M14&gt;=0,M14&lt;90),SIN(M14*PI()/180)*Z14,IF(AND(M14&gt;=90,M14&lt;180),SIN((180-M14)*PI()/180)*Z14,IF(AND(M14&gt;=180,M14&lt;270),0,IF(AND(M14&gt;=270,M14&lt;360),0,IF(AND(M14&gt;=360,M14&lt;450),SIN((M14-360)*PI()/180)*Z14,IF(AND(M14&gt;=450,M14&lt;540),SIN((540-M14)*PI()/180)*Z14,IF(AND(M14&gt;=540,M14&lt;630),0,)))))))+IF(AND(M14&gt;=630,M14&lt;720),0,IF(AND(M14&gt;=720,M14&lt;810),SIN((M14-720)*PI()/180)*Z14,IF(AND(M14&gt;=810,M14&lt;900),SIN((900-M14)*PI()/180)*Z14,IF(AND(M14&gt;=900,M14&lt;990),0,IF(AND(M14&gt;=990,M14&lt;1080),0))))))</f>
        <v>0</v>
      </c>
      <c r="R14" s="10">
        <f>IF(AND(M14&gt;=0,M14&lt;90),0,IF(AND(M14&gt;=90,M14&lt;180),0,IF(AND(M14&gt;=180,M14&lt;270),SIN((M14-180)*PI()/180)*Z14*-1,IF(AND(M14&gt;=270,M14&lt;360),SIN((360-M14)*PI()/180)*Z14*-1,IF(AND(M14&gt;=360,M14&lt;450),0,IF(AND(M14&gt;=450,M14&lt;540),0,))))))+IF(AND(M14&gt;=540,M14&lt;630),SIN((M14-540)*PI()/180)*Z14*-1,IF(AND(M14&gt;=630,M14&lt;720),SIN((720-M14)*PI()/180)*Z14*-1,IF(AND(M14&gt;=720,M14&lt;810),0,IF(AND(M14&gt;=810,M14&lt;900),0,IF(AND(M14&gt;=900,M14&lt;990),SIN((990-M14)*PI()/180)*Z14*-1,IF(AND(M14&gt;=990,M14&lt;1080),SIN((1080-M14)*PI()/180)*Z14*-1))))))</f>
        <v>-29.389262614623657</v>
      </c>
      <c r="S14" s="10"/>
      <c r="T14" s="10"/>
      <c r="U14" s="10">
        <f>IF(AND(M14&gt;=0,M14&lt;90),COS((M14)*PI()/180)*Z14,IF(AND(M14&gt;=90,M14&lt;180),0,IF(AND(M14&gt;=180,M14&lt;270),0,IF(AND(M14&gt;=270,M14&lt;360),COS((360-M14)*PI()/180)*Z14,IF(AND(M14&gt;=360,M14&lt;450),COS((M14-360)*PI()/180)*Z14,IF(AND(M14&gt;=450,M14&lt;540),0,IF(AND(M14&gt;=540,M14&lt;630),0,)))))))+IF(AND(M14&gt;=630,M14&lt;720),COS((720-M14)*PI()/180)*Z14,IF(AND(M14&gt;=720,M14&lt;810),COS((M14-720)*PI()/180)*Z14,IF(AND(M14&gt;=810,M14&lt;900),0,IF(AND(M14&gt;=900,M14&lt;990),0,IF(AND(M14&gt;=990,M14&lt;1080),COS((1080-M14)*PI()/180)*Z14)))))</f>
        <v>0</v>
      </c>
      <c r="V14" s="10">
        <f>IF(AND(M14&gt;=0,M14&lt;90),0,IF(AND(M14&gt;=90,M14&lt;180),COS((180-M14)*PI()/180)*Z14*-1,IF(AND(M14&gt;=180,M14&lt;270),COS((M14-180)*PI()/180)*Z14*-1,IF(AND(M14&gt;=270,M14&lt;360),0,IF(AND(M14&gt;=360,M14&lt;450),0,IF(AND(M14&gt;=450,M14&lt;540),COS((540-M14)*PI()/180)*Z14*-1,))))))+IF(AND(M14&gt;=540,M14&lt;630),COS((M14-540)*PI()/180)*Z14*-1,IF(AND(M14&gt;=630,M14&lt;720),0,IF(AND(M14&gt;=720,M14&lt;810),0,IF(AND(M14&gt;=810,M14&lt;900),COS((900-M14)*PI()/180)*Z14*-1,IF(AND(M14&gt;=900,M14&lt;990),COS((990-M14)*PI()/180)*Z14*-1,IF(AND(M14&gt;=990,M14&lt;1080),0))))))</f>
        <v>-40.45084971874737</v>
      </c>
      <c r="W14" s="10">
        <f>IF((W$11+Q14+R14)-INT(W$11+Q14+R14)&gt;0.999,INT(W$11+Q14+R14)+1,W$11+Q14+R14)</f>
        <v>10124.494914244138</v>
      </c>
      <c r="X14" s="10">
        <f>IF((X$11+U14+V14)-INT(X$11+U14+V14)&gt;0.999,INT(X$11+U14+V14)+1,X$11+U14+V14)</f>
        <v>4909.549150281253</v>
      </c>
      <c r="Y14" s="39">
        <f>IF(H$6=0,(IF(C14=0,0,ABS(SIN(((((H14*100-(ABS(H14*100))+(ABS((H14-INT(H14))*100)/60)+INT(H14)))-270)*2)*PI()/180)/2*IF(AND(D14&lt;&gt;0,E14&lt;&gt;0),(E14-D14)*2/10,IF(AND(D14&lt;&gt;0,F14&lt;&gt;0),(F14-D14)/10,IF(AND(E14&lt;&gt;0,F14&lt;&gt;0),(F14-E14)*2/10,"?")))+C14-IF(E14=0,((F14-D14)/2+D14)/1000,E14/1000)+Y$11))),(IF(C14=0,0,ABS(SIN(((((H14*100-(ABS(H14*100))+(ABS((H14-INT(H14))*100)/60)+INT(H14)))-270)*2)*PI()/180)/2*IF(AND(D14&lt;&gt;0,E14&lt;&gt;0),(E14-D14)*2/10,IF(AND(D14&lt;&gt;0,F14&lt;&gt;0),(F14-D14)/10,IF(AND(E14&lt;&gt;0,F14&lt;&gt;0),(F14-E14)*2/10,"?")))-C14+IF(E14=0,((F14-D14)/2+D14)/1000,E14/1000)-Y$11))))</f>
        <v>800.25</v>
      </c>
      <c r="Z14" s="136">
        <f t="shared" si="0"/>
        <v>50</v>
      </c>
      <c r="AA14" s="112" t="str">
        <f t="shared" si="1"/>
        <v>10124.495,4909.549</v>
      </c>
      <c r="AB14" s="110" t="str">
        <f t="shared" si="3"/>
        <v>10124.495,4909.549,800.250</v>
      </c>
    </row>
    <row r="15" spans="1:28" s="35" customFormat="1" ht="15" customHeight="1">
      <c r="A15" s="16" t="s">
        <v>22</v>
      </c>
      <c r="B15" s="5" t="s">
        <v>23</v>
      </c>
      <c r="C15" s="14">
        <v>1.5</v>
      </c>
      <c r="D15" s="5">
        <v>1000</v>
      </c>
      <c r="E15" s="5">
        <v>0</v>
      </c>
      <c r="F15" s="5">
        <v>2000</v>
      </c>
      <c r="G15" s="3">
        <v>252</v>
      </c>
      <c r="H15" s="8">
        <v>270</v>
      </c>
      <c r="I15" s="7" t="s">
        <v>23</v>
      </c>
      <c r="J15" s="36">
        <f>K15</f>
        <v>72</v>
      </c>
      <c r="K15" s="139">
        <f t="shared" si="2"/>
        <v>72</v>
      </c>
      <c r="L15" s="31">
        <f>J15-(IF(F$4=0,0,(IF(SUM(J$9:J$18)&gt;0,SUM(J$9:J$18)-360,SUM(J$9:J$18)+360))/C$3))</f>
        <v>72</v>
      </c>
      <c r="M15" s="36">
        <f>IF(M13+K15&lt;=0,(M13+K15)+360,M13+K15)</f>
        <v>288</v>
      </c>
      <c r="N15" s="32">
        <f>Z15</f>
        <v>100</v>
      </c>
      <c r="O15" s="33">
        <f>(IF(AND(M15&gt;=0,M15&lt;90),SIN(M15*PI()/180)*N15,IF(AND(M15&gt;=90,M15&lt;180),SIN((180-M15)*PI()/180)*N15,IF(AND(M15&gt;=180,M15&lt;270),0,IF(AND(M15&gt;=270,M15&lt;360),0,IF(AND(M15&gt;=360,M15&lt;450),SIN((M15-360)*PI()/180)*N15,IF(AND(M15&gt;=450,M15&lt;540),SIN((540-M15)*PI()/180)*N15,IF(AND(M15&gt;=540,M15&lt;630),0,)))))))+IF(AND(M15&gt;=630,M15&lt;720),0,IF(AND(M15&gt;=720,M15&lt;810),SIN((M15-720)*PI()/180)*N15,IF(AND(M15&gt;=810,M15&lt;900),SIN((900-M15)*PI()/180)*N15,IF(AND(M15&gt;=900,M15&lt;990),0,IF(AND(M15&gt;=990,M15&lt;1080),0))))))</f>
        <v>0</v>
      </c>
      <c r="P15" s="33">
        <f>IF(AND(M15&gt;=0,M15&lt;90),0,IF(AND(M15&gt;=90,M15&lt;180),0,IF(AND(M15&gt;=180,M15&lt;270),SIN((M15-180)*PI()/180)*N15*-1,IF(AND(M15&gt;=270,M15&lt;360),SIN((360-M15)*PI()/180)*N15*-1,IF(AND(M15&gt;=360,M15&lt;450),0,IF(AND(M15&gt;=450,M15&lt;540),0,))))))+IF(AND(M15&gt;=540,M15&lt;630),SIN((M15-540)*PI()/180)*N15*-1,IF(AND(M15&gt;=630,M15&lt;720),SIN((720-M15)*PI()/180)*N15*-1,IF(AND(M15&gt;=720,M15&lt;810),0,IF(AND(M15&gt;=810,M15&lt;900),0,IF(AND(M15&gt;=900,M15&lt;990),SIN((990-M15)*PI()/180)*N15*-1,IF(AND(M15&gt;=990,M15&lt;1080),SIN((1080-M15)*PI()/180)*N15*-1))))))</f>
        <v>-95.10565162951535</v>
      </c>
      <c r="Q15" s="22">
        <f>IF(O15=0,0,(O15-IF(F$4=0,0,IF(O15=0,(IF(F$4=0,0,SUM(SUM(O$9:O$18),SUM(P$9:P$18))/SUM(ABS(SUM(O$9:O$18)),ABS(SUM(P$9:P$18)))))*P15,(IF(F$4=0,0,SUM(SUM(O$9:O$18),SUM(P$9:P$18))/SUM(ABS(SUM(O$9:O$18)),ABS(SUM(P$9:P$18)))))*O15))))</f>
        <v>0</v>
      </c>
      <c r="R15" s="22">
        <f>IF(P15=0,0,(P15+IF(F$4=0,0,IF(O15=0,(IF(F$4=0,0,SUM(SUM(O$9:O$18),SUM(P$9:P$18))/SUM(ABS(SUM(O$9:O$18)),ABS(SUM(P$9:P$18)))))*P15,(IF(F$4=0,0,SUM(SUM(O$9:O$18),SUM(P$9:P$18))/SUM(ABS(SUM(O$9:O$18)),ABS(SUM(P$9:P$18)))))*O15))))</f>
        <v>-95.10565162951535</v>
      </c>
      <c r="S15" s="33">
        <f>IF(AND(M15&gt;=0,M15&lt;90),COS(M15*PI()/180)*N15,IF(AND(M15&gt;=90,M15&lt;180),0,IF(AND(M15&gt;=180,M15&lt;270),0,IF(AND(M15&gt;=270,M15&lt;360),COS((360-M15)*PI()/180)*N15,IF(AND(M15&gt;=360,M15&lt;450),COS((M15-360)*PI()/180)*N15,IF(AND(M15&gt;=450,M15&lt;540),0,IF(AND(M15&gt;=540,M15&lt;630),0,)))))))+IF(AND(M15&gt;=630,M15&lt;720),COS((720-M15)*PI()/180)*N15,IF(AND(M15&gt;=720,M15&lt;810),COS((M15-720)*PI()/180)*N15,IF(AND(M15&gt;=810,M15&lt;900),0,IF(AND(M15&gt;=900,M15&lt;990),0,IF(AND(M15&gt;=990,M15&lt;1080),COS((1080-M15)*PI()/180)*N15)))))</f>
        <v>30.901699437494745</v>
      </c>
      <c r="T15" s="33">
        <f>IF(AND(M15&gt;=0,M15&lt;90),0,IF(AND(M15&gt;=90,M15&lt;180),COS((180-M15)*PI()/180)*N15*-1,IF(AND(M15&gt;=180,M15&lt;270),COS((M15-180)*PI()/180)*N15*-1,IF(AND(M15&gt;=270,M15&lt;360),0,IF(AND(M15&gt;=360,M15&lt;450),0,IF(AND(M15&gt;=450,M15&lt;540),COS((540-M15)*PI()/180)*N15*-1))))))+IF(AND(M15&gt;=540,M15&lt;630),COS((M15-540)*PI()/180)*N15*-1,IF(AND(M15&gt;=630,M15&lt;720),0,IF(AND(M15&gt;=720,M15&lt;810),0,IF(AND(M15&gt;=810,M15&lt;900),COS((900-M15)*PI()/180)*N15*-1,IF(AND(M15&gt;=900,M15&lt;990),COS((990-M15)*PI()/180)*N15*-1,IF(AND(M15&gt;=990,M15&lt;1080),0))))))</f>
        <v>0</v>
      </c>
      <c r="U15" s="22">
        <f>IF(S15=0,0,(S15-IF(F$4=0,0,IF(S15=0,(IF(F$4=0,0,SUM(SUM((S$9:S$18),SUM(T$9:T$18)))/SUM(ABS(SUM(S$9:S$18)),ABS(SUM(T$9:T$18)))))*T15,(IF(F$4=0,0,SUM(SUM((S$9:S$18),SUM(T$9:T$18)))/SUM(ABS(SUM(S$9:S$18)),ABS(SUM(T$9:T$18)))))*S15))))</f>
        <v>30.901699437494745</v>
      </c>
      <c r="V15" s="22">
        <f>IF(T15=0,0,(T15+IF(F$4=0,0,IF(S15=0,(IF(F$4=0,0,SUM(SUM((S$9:S$18),SUM(T$9:T$18)))/SUM(ABS(SUM(S$9:S$18)),ABS(SUM(T$9:T$18)))))*T15,(IF(F$4=0,0,SUM(SUM((S$9:S$18),SUM(T$9:T$18)))/SUM(ABS(SUM(S$9:S$18)),ABS(SUM(T$9:T$18)))))*S15))))</f>
        <v>0</v>
      </c>
      <c r="W15" s="33">
        <f>IF((W$13+Q15+R15)-INT(W$13+Q15+R15)&gt;0.999,INT(W$13+Q15+R15)+1,W$13+Q15+R15)</f>
        <v>10000</v>
      </c>
      <c r="X15" s="33">
        <f>IF((X$13+U15+V15)-INT(X$13+U15+V15)&gt;0.999,INT(X$13+U15+V15)+1,X$13+U15+V15)</f>
        <v>4900</v>
      </c>
      <c r="Y15" s="34">
        <f>IF(H$6=0,(IF(C15=0,0,ABS(SIN(((((H15*100-(ABS(H15*100))+(ABS((H15-INT(H15))*100)/60)+INT(H15)))-270)*2)*PI()/180)/2*IF(AND(D15&lt;&gt;0,E15&lt;&gt;0),(E15-D15)*2/10,IF(AND(D15&lt;&gt;0,F15&lt;&gt;0),(F15-D15)/10,IF(AND(E15&lt;&gt;0,F15&lt;&gt;0),(F15-E15)*2/10,"?")))+C15-IF(E15=0,((F15-D15)/2+D15)/1000,E15/1000)+Y$13))),(IF(C15=0,0,ABS(SIN(((((H15*100-(ABS(H15*100))+(ABS((H15-INT(H15))*100)/60)+INT(H15)))-270)*2)*PI()/180)/2*IF(AND(D15&lt;&gt;0,E15&lt;&gt;0),(E15-D15)*2/10,IF(AND(D15&lt;&gt;0,F15&lt;&gt;0),(F15-D15)/10,IF(AND(E15&lt;&gt;0,F15&lt;&gt;0),(F15-E15)*2/10,"?")))-C15+IF(E15=0,((F15-D15)/2+D15)/1000,E15/1000)-Y$13))))</f>
        <v>800</v>
      </c>
      <c r="Z15" s="137">
        <f t="shared" si="0"/>
        <v>100</v>
      </c>
      <c r="AA15" s="112" t="str">
        <f t="shared" si="1"/>
        <v>10000.000,4900.000</v>
      </c>
      <c r="AB15" s="110" t="str">
        <f t="shared" si="3"/>
        <v>10000.000,4900.000,800.000</v>
      </c>
    </row>
    <row r="16" spans="1:28" s="40" customFormat="1" ht="15.75">
      <c r="A16" s="15"/>
      <c r="B16" s="4">
        <v>1</v>
      </c>
      <c r="C16" s="13">
        <f>C15</f>
        <v>1.5</v>
      </c>
      <c r="D16" s="4">
        <v>1000</v>
      </c>
      <c r="E16" s="4">
        <v>0</v>
      </c>
      <c r="F16" s="4">
        <v>1500</v>
      </c>
      <c r="G16" s="142">
        <v>252</v>
      </c>
      <c r="H16" s="6">
        <v>270</v>
      </c>
      <c r="I16" s="6"/>
      <c r="J16" s="37"/>
      <c r="K16" s="138">
        <f t="shared" si="2"/>
        <v>72</v>
      </c>
      <c r="L16" s="31"/>
      <c r="M16" s="37">
        <f>IF(M$13+K16&lt;0,(M$13+K16)+360,M$13+K16)</f>
        <v>288</v>
      </c>
      <c r="N16" s="38"/>
      <c r="O16" s="10"/>
      <c r="P16" s="10"/>
      <c r="Q16" s="10">
        <f>(IF(AND(M16&gt;=0,M16&lt;90),SIN(M16*PI()/180)*Z16,IF(AND(M16&gt;=90,M16&lt;180),SIN((180-M16)*PI()/180)*Z16,IF(AND(M16&gt;=180,M16&lt;270),0,IF(AND(M16&gt;=270,M16&lt;360),0,IF(AND(M16&gt;=360,M16&lt;450),SIN((M16-360)*PI()/180)*Z16,IF(AND(M16&gt;=450,M16&lt;540),SIN((540-M16)*PI()/180)*Z16,IF(AND(M16&gt;=540,M16&lt;630),0,)))))))+IF(AND(M16&gt;=630,M16&lt;720),0,IF(AND(M16&gt;=720,M16&lt;810),SIN((M16-720)*PI()/180)*Z16,IF(AND(M16&gt;=810,M16&lt;900),SIN((900-M16)*PI()/180)*Z16,IF(AND(M16&gt;=900,M16&lt;990),0,IF(AND(M16&gt;=990,M16&lt;1080),0))))))</f>
        <v>0</v>
      </c>
      <c r="R16" s="10">
        <f>IF(AND(M16&gt;=0,M16&lt;90),0,IF(AND(M16&gt;=90,M16&lt;180),0,IF(AND(M16&gt;=180,M16&lt;270),SIN((M16-180)*PI()/180)*Z16*-1,IF(AND(M16&gt;=270,M16&lt;360),SIN((360-M16)*PI()/180)*Z16*-1,IF(AND(M16&gt;=360,M16&lt;450),0,IF(AND(M16&gt;=450,M16&lt;540),0,))))))+IF(AND(M16&gt;=540,M16&lt;630),SIN((M16-540)*PI()/180)*Z16*-1,IF(AND(M16&gt;=630,M16&lt;720),SIN((720-M16)*PI()/180)*Z16*-1,IF(AND(M16&gt;=720,M16&lt;810),0,IF(AND(M16&gt;=810,M16&lt;900),0,IF(AND(M16&gt;=900,M16&lt;990),SIN((990-M16)*PI()/180)*Z16*-1,IF(AND(M16&gt;=990,M16&lt;1080),SIN((1080-M16)*PI()/180)*Z16*-1))))))</f>
        <v>-47.552825814757675</v>
      </c>
      <c r="S16" s="10"/>
      <c r="T16" s="10"/>
      <c r="U16" s="10">
        <f>IF(AND(M16&gt;=0,M16&lt;90),COS((M16)*PI()/180)*Z16,IF(AND(M16&gt;=90,M16&lt;180),0,IF(AND(M16&gt;=180,M16&lt;270),0,IF(AND(M16&gt;=270,M16&lt;360),COS((360-M16)*PI()/180)*Z16,IF(AND(M16&gt;=360,M16&lt;450),COS((M16-360)*PI()/180)*Z16,IF(AND(M16&gt;=450,M16&lt;540),0,IF(AND(M16&gt;=540,M16&lt;630),0,)))))))+IF(AND(M16&gt;=630,M16&lt;720),COS((720-M16)*PI()/180)*Z16,IF(AND(M16&gt;=720,M16&lt;810),COS((M16-720)*PI()/180)*Z16,IF(AND(M16&gt;=810,M16&lt;900),0,IF(AND(M16&gt;=900,M16&lt;990),0,IF(AND(M16&gt;=990,M16&lt;1080),COS((1080-M16)*PI()/180)*Z16)))))</f>
        <v>15.450849718747373</v>
      </c>
      <c r="V16" s="10">
        <f>IF(AND(M16&gt;=0,M16&lt;90),0,IF(AND(M16&gt;=90,M16&lt;180),COS((180-M16)*PI()/180)*Z16*-1,IF(AND(M16&gt;=180,M16&lt;270),COS((M16-180)*PI()/180)*Z16*-1,IF(AND(M16&gt;=270,M16&lt;360),0,IF(AND(M16&gt;=360,M16&lt;450),0,IF(AND(M16&gt;=450,M16&lt;540),COS((540-M16)*PI()/180)*Z16*-1,))))))+IF(AND(M16&gt;=540,M16&lt;630),COS((M16-540)*PI()/180)*Z16*-1,IF(AND(M16&gt;=630,M16&lt;720),0,IF(AND(M16&gt;=720,M16&lt;810),0,IF(AND(M16&gt;=810,M16&lt;900),COS((900-M16)*PI()/180)*Z16*-1,IF(AND(M16&gt;=900,M16&lt;990),COS((990-M16)*PI()/180)*Z16*-1,IF(AND(M16&gt;=990,M16&lt;1080),0))))))</f>
        <v>0</v>
      </c>
      <c r="W16" s="10">
        <f>IF((W$13+Q16+R16)-INT(W$13+Q16+R16)&gt;0.999,INT(W$13+Q16+R16)+1,W$13+Q16+R16)</f>
        <v>10047.552825814759</v>
      </c>
      <c r="X16" s="10">
        <f>IF((X$13+U16+V16)-INT(X$13+U16+V16)&gt;0.999,INT(X$13+U16+V16)+1,X$13+U16+V16)</f>
        <v>4884.549150281252</v>
      </c>
      <c r="Y16" s="39">
        <f>IF(H$6=0,(IF(C16=0,0,ABS(SIN(((((H16*100-(ABS(H16*100))+(ABS((H16-INT(H16))*100)/60)+INT(H16)))-270)*2)*PI()/180)/2*IF(AND(D16&lt;&gt;0,E16&lt;&gt;0),(E16-D16)*2/10,IF(AND(D16&lt;&gt;0,F16&lt;&gt;0),(F16-D16)/10,IF(AND(E16&lt;&gt;0,F16&lt;&gt;0),(F16-E16)*2/10,"?")))+C16-IF(E16=0,((F16-D16)/2+D16)/1000,E16/1000)+Y$13))),(IF(C16=0,0,ABS(SIN(((((H16*100-(ABS(H16*100))+(ABS((H16-INT(H16))*100)/60)+INT(H16)))-270)*2)*PI()/180)/2*IF(AND(D16&lt;&gt;0,E16&lt;&gt;0),(E16-D16)*2/10,IF(AND(D16&lt;&gt;0,F16&lt;&gt;0),(F16-D16)/10,IF(AND(E16&lt;&gt;0,F16&lt;&gt;0),(F16-E16)*2/10,"?")))-C16+IF(E16=0,((F16-D16)/2+D16)/1000,E16/1000)-Y$13))))</f>
        <v>800.25</v>
      </c>
      <c r="Z16" s="136">
        <f t="shared" si="0"/>
        <v>50</v>
      </c>
      <c r="AA16" s="112" t="str">
        <f>CONCATENATE(INT(W16),".",IF((W16-INT(W16))*1000&lt;10,CONCATENATE(0,0,ROUND(ABS(W16-INT(W16))*1000,0)),IF((W16-INT(W16))*1000&lt;100,CONCATENATE(0,ROUND(ABS(W16-INT(W16))*1000,0)),ROUND((W16-INT(W16))*1000,0))),",",INT(X16),".",IF((X16-INT(X16))*1000&lt;10,CONCATENATE(0,0,ROUND(ABS(X16-INT(X16))*1000,0)),IF((X16-INT(X16))*1000&lt;100,CONCATENATE(0,ROUND(ABS(X16-INT(X16))*1000,0)),ROUND((X16-INT(X16))*1000,0))))</f>
        <v>10047.553,4884.549</v>
      </c>
      <c r="AB16" s="110" t="str">
        <f>CONCATENATE(INT(W16),".",IF((W16-INT(W16))*1000&lt;10,CONCATENATE(0,0,ROUND(ABS(W16-INT(W16))*1000,0)),IF((W16-INT(W16))*1000&lt;100,CONCATENATE(0,ROUND(ABS(W16-INT(W16))*1000,0)),ROUND((W16-INT(W16))*1000,0))),",",INT(X16),".",IF((X16-INT(X16))*1000&lt;10,CONCATENATE(0,0,ROUND(ABS(X16-INT(X16))*1000,0)),IF((X16-INT(X16))*1000&lt;100,CONCATENATE(0,ROUND(ABS(X16-INT(X16))*1000,0)),ROUND((X16-INT(X16))*1000,0))),",",INT(Y16),".",IF((Y16-INT(Y16))*1000&lt;9.99999,CONCATENATE(0,0,ROUND(ABS(Y16-INT(Y16))*1000,0)),IF((Y16-INT(Y16))*1000&lt;100,CONCATENATE(0,ROUND(ABS(Y16-INT(Y16))*1000,0)),ROUND((Y16-INT(Y16))*1000,0))))</f>
        <v>10047.553,4884.549,800.250</v>
      </c>
    </row>
    <row r="17" spans="1:28" s="35" customFormat="1" ht="15" customHeight="1">
      <c r="A17" s="16" t="s">
        <v>23</v>
      </c>
      <c r="B17" s="5" t="s">
        <v>19</v>
      </c>
      <c r="C17" s="14">
        <v>1.5</v>
      </c>
      <c r="D17" s="5">
        <v>1000</v>
      </c>
      <c r="E17" s="5">
        <v>0</v>
      </c>
      <c r="F17" s="5">
        <v>2000</v>
      </c>
      <c r="G17" s="3">
        <v>252</v>
      </c>
      <c r="H17" s="8">
        <v>270</v>
      </c>
      <c r="I17" s="7" t="s">
        <v>19</v>
      </c>
      <c r="J17" s="36">
        <f>K17</f>
        <v>72</v>
      </c>
      <c r="K17" s="139">
        <f t="shared" si="2"/>
        <v>72</v>
      </c>
      <c r="L17" s="31">
        <f>J17-(IF(F$4=0,0,(IF(SUM(J$9:J$18)&gt;0,SUM(J$9:J$18)-360,SUM(J$9:J$18)+360))/C$3))</f>
        <v>72</v>
      </c>
      <c r="M17" s="36">
        <f>IF(M15+K17&lt;=0,(M15+K17)+360,M15+K17)</f>
        <v>360</v>
      </c>
      <c r="N17" s="32">
        <f>Z17</f>
        <v>100</v>
      </c>
      <c r="O17" s="33">
        <f>(IF(AND(M17&gt;=0,M17&lt;90),SIN(M17*PI()/180)*N17,IF(AND(M17&gt;=90,M17&lt;180),SIN((180-M17)*PI()/180)*N17,IF(AND(M17&gt;=180,M17&lt;270),0,IF(AND(M17&gt;=270,M17&lt;360),0,IF(AND(M17&gt;=360,M17&lt;450),SIN((M17-360)*PI()/180)*N17,IF(AND(M17&gt;=450,M17&lt;540),SIN((540-M17)*PI()/180)*N17,IF(AND(M17&gt;=540,M17&lt;630),0,)))))))+IF(AND(M17&gt;=630,M17&lt;720),0,IF(AND(M17&gt;=720,M17&lt;810),SIN((M17-720)*PI()/180)*N17,IF(AND(M17&gt;=810,M17&lt;900),SIN((900-M17)*PI()/180)*N17,IF(AND(M17&gt;=900,M17&lt;990),0,IF(AND(M17&gt;=990,M17&lt;1080),0))))))</f>
        <v>0</v>
      </c>
      <c r="P17" s="33">
        <f>IF(AND(M17&gt;=0,M17&lt;90),0,IF(AND(M17&gt;=90,M17&lt;180),0,IF(AND(M17&gt;=180,M17&lt;270),SIN((M17-180)*PI()/180)*N17*-1,IF(AND(M17&gt;=270,M17&lt;360),SIN((360-M17)*PI()/180)*N17*-1,IF(AND(M17&gt;=360,M17&lt;450),0,IF(AND(M17&gt;=450,M17&lt;540),0,))))))+IF(AND(M17&gt;=540,M17&lt;630),SIN((M17-540)*PI()/180)*N17*-1,IF(AND(M17&gt;=630,M17&lt;720),SIN((720-M17)*PI()/180)*N17*-1,IF(AND(M17&gt;=720,M17&lt;810),0,IF(AND(M17&gt;=810,M17&lt;900),0,IF(AND(M17&gt;=900,M17&lt;990),SIN((990-M17)*PI()/180)*N17*-1,IF(AND(M17&gt;=990,M17&lt;1080),SIN((1080-M17)*PI()/180)*N17*-1))))))</f>
        <v>0</v>
      </c>
      <c r="Q17" s="22">
        <f>IF(O17=0,0,(O17-IF(F$4=0,0,IF(O17=0,(IF(F$4=0,0,SUM(SUM(O$9:O$18),SUM(P$9:P$18))/SUM(ABS(SUM(O$9:O$18)),ABS(SUM(P$9:P$18)))))*P17,(IF(F$4=0,0,SUM(SUM(O$9:O$18),SUM(P$9:P$18))/SUM(ABS(SUM(O$9:O$18)),ABS(SUM(P$9:P$18)))))*O17))))</f>
        <v>0</v>
      </c>
      <c r="R17" s="22">
        <f>IF(P17=0,0,(P17+IF(F$4=0,0,IF(O17=0,(IF(F$4=0,0,SUM(SUM(O$9:O$18),SUM(P$9:P$18))/SUM(ABS(SUM(O$9:O$18)),ABS(SUM(P$9:P$18)))))*P17,(IF(F$4=0,0,SUM(SUM(O$9:O$18),SUM(P$9:P$18))/SUM(ABS(SUM(O$9:O$18)),ABS(SUM(P$9:P$18)))))*O17))))</f>
        <v>0</v>
      </c>
      <c r="S17" s="33">
        <f>IF(AND(M17&gt;=0,M17&lt;90),COS(M17*PI()/180)*N17,IF(AND(M17&gt;=90,M17&lt;180),0,IF(AND(M17&gt;=180,M17&lt;270),0,IF(AND(M17&gt;=270,M17&lt;360),COS((360-M17)*PI()/180)*N17,IF(AND(M17&gt;=360,M17&lt;450),COS((M17-360)*PI()/180)*N17,IF(AND(M17&gt;=450,M17&lt;540),0,IF(AND(M17&gt;=540,M17&lt;630),0,)))))))+IF(AND(M17&gt;=630,M17&lt;720),COS((720-M17)*PI()/180)*N17,IF(AND(M17&gt;=720,M17&lt;810),COS((M17-720)*PI()/180)*N17,IF(AND(M17&gt;=810,M17&lt;900),0,IF(AND(M17&gt;=900,M17&lt;990),0,IF(AND(M17&gt;=990,M17&lt;1080),COS((1080-M17)*PI()/180)*N17)))))</f>
        <v>100</v>
      </c>
      <c r="T17" s="33">
        <f>IF(AND(M17&gt;=0,M17&lt;90),0,IF(AND(M17&gt;=90,M17&lt;180),COS((180-M17)*PI()/180)*N17*-1,IF(AND(M17&gt;=180,M17&lt;270),COS((M17-180)*PI()/180)*N17*-1,IF(AND(M17&gt;=270,M17&lt;360),0,IF(AND(M17&gt;=360,M17&lt;450),0,IF(AND(M17&gt;=450,M17&lt;540),COS((540-M17)*PI()/180)*N17*-1))))))+IF(AND(M17&gt;=540,M17&lt;630),COS((M17-540)*PI()/180)*N17*-1,IF(AND(M17&gt;=630,M17&lt;720),0,IF(AND(M17&gt;=720,M17&lt;810),0,IF(AND(M17&gt;=810,M17&lt;900),COS((900-M17)*PI()/180)*N17*-1,IF(AND(M17&gt;=900,M17&lt;990),COS((990-M17)*PI()/180)*N17*-1,IF(AND(M17&gt;=990,M17&lt;1080),0))))))</f>
        <v>0</v>
      </c>
      <c r="U17" s="22">
        <f>IF(S17=0,0,(S17-IF(F$4=0,0,IF(S17=0,(IF(F$4=0,0,SUM(SUM((S$9:S$18),SUM(T$9:T$18)))/SUM(ABS(SUM(S$9:S$18)),ABS(SUM(T$9:T$18)))))*T17,(IF(F$4=0,0,SUM(SUM((S$9:S$18),SUM(T$9:T$18)))/SUM(ABS(SUM(S$9:S$18)),ABS(SUM(T$9:T$18)))))*S17))))</f>
        <v>100</v>
      </c>
      <c r="V17" s="22">
        <f>IF(T17=0,0,(T17+IF(F$4=0,0,IF(S17=0,(IF(F$4=0,0,SUM(SUM((S$9:S$18),SUM(T$9:T$18)))/SUM(ABS(SUM(S$9:S$18)),ABS(SUM(T$9:T$18)))))*T17,(IF(F$4=0,0,SUM(SUM((S$9:S$18),SUM(T$9:T$18)))/SUM(ABS(SUM(S$9:S$18)),ABS(SUM(T$9:T$18)))))*S17))))</f>
        <v>0</v>
      </c>
      <c r="W17" s="33">
        <f>IF((W$15+Q17+R17)-INT(W$15+Q17+R17)&gt;0.999,INT(W$15+Q17+R17)+1,W$15+Q17+R17)</f>
        <v>10000</v>
      </c>
      <c r="X17" s="33">
        <f>IF((X$15+U17+V17)-INT(X$15+U17+V17)&gt;0.999,INT(X$15+U17+V17)+1,X$15+U17+V17)</f>
        <v>5000</v>
      </c>
      <c r="Y17" s="34">
        <f>IF(H$6=0,(IF(C17=0,0,ABS(SIN(((((H17*100-(ABS(H17*100))+(ABS((H17-INT(H17))*100)/60)+INT(H17)))-270)*2)*PI()/180)/2*IF(AND(D17&lt;&gt;0,E17&lt;&gt;0),(E17-D17)*2/10,IF(AND(D17&lt;&gt;0,F17&lt;&gt;0),(F17-D17)/10,IF(AND(E17&lt;&gt;0,F17&lt;&gt;0),(F17-E17)*2/10,"?")))+C17-IF(E17=0,((F17-D17)/2+D17)/1000,E17/1000)+Y$15))),(IF(C17=0,0,ABS(SIN(((((H17*100-(ABS(H17*100))+(ABS((H17-INT(H17))*100)/60)+INT(H17)))-270)*2)*PI()/180)/2*IF(AND(D17&lt;&gt;0,E17&lt;&gt;0),(E17-D17)*2/10,IF(AND(D17&lt;&gt;0,F17&lt;&gt;0),(F17-D17)/10,IF(AND(E17&lt;&gt;0,F17&lt;&gt;0),(F17-E17)*2/10,"?")))-C17+IF(E17=0,((F17-D17)/2+D17)/1000,E17/1000)-Y$15))))</f>
        <v>800</v>
      </c>
      <c r="Z17" s="137">
        <f t="shared" si="0"/>
        <v>100</v>
      </c>
      <c r="AA17" s="112" t="str">
        <f>CONCATENATE(INT(W17),".",IF((W17-INT(W17))*1000&lt;10,CONCATENATE(0,0,ROUND(ABS(W17-INT(W17))*1000,0)),IF((W17-INT(W17))*1000&lt;100,CONCATENATE(0,ROUND(ABS(W17-INT(W17))*1000,0)),ROUND((W17-INT(W17))*1000,0))),",",INT(X17),".",IF((X17-INT(X17))*1000&lt;10,CONCATENATE(0,0,ROUND(ABS(X17-INT(X17))*1000,0)),IF((X17-INT(X17))*1000&lt;100,CONCATENATE(0,ROUND(ABS(X17-INT(X17))*1000,0)),ROUND((X17-INT(X17))*1000,0))))</f>
        <v>10000.000,5000.000</v>
      </c>
      <c r="AB17" s="110" t="str">
        <f>CONCATENATE(INT(W17),".",IF((W17-INT(W17))*1000&lt;10,CONCATENATE(0,0,ROUND(ABS(W17-INT(W17))*1000,0)),IF((W17-INT(W17))*1000&lt;100,CONCATENATE(0,ROUND(ABS(W17-INT(W17))*1000,0)),ROUND((W17-INT(W17))*1000,0))),",",INT(X17),".",IF((X17-INT(X17))*1000&lt;10,CONCATENATE(0,0,ROUND(ABS(X17-INT(X17))*1000,0)),IF((X17-INT(X17))*1000&lt;100,CONCATENATE(0,ROUND(ABS(X17-INT(X17))*1000,0)),ROUND((X17-INT(X17))*1000,0))),",",INT(Y17),".",IF((Y17-INT(Y17))*1000&lt;9.99999,CONCATENATE(0,0,ROUND(ABS(Y17-INT(Y17))*1000,0)),IF((Y17-INT(Y17))*1000&lt;100,CONCATENATE(0,ROUND(ABS(Y17-INT(Y17))*1000,0)),ROUND((Y17-INT(Y17))*1000,0))))</f>
        <v>10000.000,5000.000,800.000</v>
      </c>
    </row>
    <row r="18" spans="1:28" s="40" customFormat="1" ht="16.5" thickBot="1">
      <c r="A18" s="15"/>
      <c r="B18" s="4">
        <v>1</v>
      </c>
      <c r="C18" s="13">
        <f>C17</f>
        <v>1.5</v>
      </c>
      <c r="D18" s="4">
        <v>1000</v>
      </c>
      <c r="E18" s="4">
        <v>0</v>
      </c>
      <c r="F18" s="4">
        <v>1500</v>
      </c>
      <c r="G18" s="151">
        <v>252</v>
      </c>
      <c r="H18" s="152">
        <v>270</v>
      </c>
      <c r="I18" s="152"/>
      <c r="J18" s="37"/>
      <c r="K18" s="138">
        <f t="shared" si="2"/>
        <v>72</v>
      </c>
      <c r="L18" s="31"/>
      <c r="M18" s="37">
        <f>IF(M$15+K18&lt;0,(M$15+K18)+360,M$15+K18)</f>
        <v>360</v>
      </c>
      <c r="N18" s="38"/>
      <c r="O18" s="10"/>
      <c r="P18" s="10"/>
      <c r="Q18" s="10">
        <f>(IF(AND(M18&gt;=0,M18&lt;90),SIN(M18*PI()/180)*Z18,IF(AND(M18&gt;=90,M18&lt;180),SIN((180-M18)*PI()/180)*Z18,IF(AND(M18&gt;=180,M18&lt;270),0,IF(AND(M18&gt;=270,M18&lt;360),0,IF(AND(M18&gt;=360,M18&lt;450),SIN((M18-360)*PI()/180)*Z18,IF(AND(M18&gt;=450,M18&lt;540),SIN((540-M18)*PI()/180)*Z18,IF(AND(M18&gt;=540,M18&lt;630),0,)))))))+IF(AND(M18&gt;=630,M18&lt;720),0,IF(AND(M18&gt;=720,M18&lt;810),SIN((M18-720)*PI()/180)*Z18,IF(AND(M18&gt;=810,M18&lt;900),SIN((900-M18)*PI()/180)*Z18,IF(AND(M18&gt;=900,M18&lt;990),0,IF(AND(M18&gt;=990,M18&lt;1080),0))))))</f>
        <v>0</v>
      </c>
      <c r="R18" s="10">
        <f>IF(AND(M18&gt;=0,M18&lt;90),0,IF(AND(M18&gt;=90,M18&lt;180),0,IF(AND(M18&gt;=180,M18&lt;270),SIN((M18-180)*PI()/180)*Z18*-1,IF(AND(M18&gt;=270,M18&lt;360),SIN((360-M18)*PI()/180)*Z18*-1,IF(AND(M18&gt;=360,M18&lt;450),0,IF(AND(M18&gt;=450,M18&lt;540),0,))))))+IF(AND(M18&gt;=540,M18&lt;630),SIN((M18-540)*PI()/180)*Z18*-1,IF(AND(M18&gt;=630,M18&lt;720),SIN((720-M18)*PI()/180)*Z18*-1,IF(AND(M18&gt;=720,M18&lt;810),0,IF(AND(M18&gt;=810,M18&lt;900),0,IF(AND(M18&gt;=900,M18&lt;990),SIN((990-M18)*PI()/180)*Z18*-1,IF(AND(M18&gt;=990,M18&lt;1080),SIN((1080-M18)*PI()/180)*Z18*-1))))))</f>
        <v>0</v>
      </c>
      <c r="S18" s="10"/>
      <c r="T18" s="10"/>
      <c r="U18" s="10">
        <f>IF(AND(M18&gt;=0,M18&lt;90),COS((M18)*PI()/180)*Z18,IF(AND(M18&gt;=90,M18&lt;180),0,IF(AND(M18&gt;=180,M18&lt;270),0,IF(AND(M18&gt;=270,M18&lt;360),COS((360-M18)*PI()/180)*Z18,IF(AND(M18&gt;=360,M18&lt;450),COS((M18-360)*PI()/180)*Z18,IF(AND(M18&gt;=450,M18&lt;540),0,IF(AND(M18&gt;=540,M18&lt;630),0,)))))))+IF(AND(M18&gt;=630,M18&lt;720),COS((720-M18)*PI()/180)*Z18,IF(AND(M18&gt;=720,M18&lt;810),COS((M18-720)*PI()/180)*Z18,IF(AND(M18&gt;=810,M18&lt;900),0,IF(AND(M18&gt;=900,M18&lt;990),0,IF(AND(M18&gt;=990,M18&lt;1080),COS((1080-M18)*PI()/180)*Z18)))))</f>
        <v>50</v>
      </c>
      <c r="V18" s="10">
        <f>IF(AND(M18&gt;=0,M18&lt;90),0,IF(AND(M18&gt;=90,M18&lt;180),COS((180-M18)*PI()/180)*Z18*-1,IF(AND(M18&gt;=180,M18&lt;270),COS((M18-180)*PI()/180)*Z18*-1,IF(AND(M18&gt;=270,M18&lt;360),0,IF(AND(M18&gt;=360,M18&lt;450),0,IF(AND(M18&gt;=450,M18&lt;540),COS((540-M18)*PI()/180)*Z18*-1,))))))+IF(AND(M18&gt;=540,M18&lt;630),COS((M18-540)*PI()/180)*Z18*-1,IF(AND(M18&gt;=630,M18&lt;720),0,IF(AND(M18&gt;=720,M18&lt;810),0,IF(AND(M18&gt;=810,M18&lt;900),COS((900-M18)*PI()/180)*Z18*-1,IF(AND(M18&gt;=900,M18&lt;990),COS((990-M18)*PI()/180)*Z18*-1,IF(AND(M18&gt;=990,M18&lt;1080),0))))))</f>
        <v>0</v>
      </c>
      <c r="W18" s="10">
        <f>IF((W$15+Q18+R18)-INT(W$15+Q18+R18)&gt;0.999,INT(W$15+Q18+R18)+1,W$15+Q18+R18)</f>
        <v>10000</v>
      </c>
      <c r="X18" s="10">
        <f>IF((X$15+U18+V18)-INT(X$15+U18+V18)&gt;0.999,INT(X$15+U18+V18)+1,X$15+U18+V18)</f>
        <v>4950</v>
      </c>
      <c r="Y18" s="39">
        <f>IF(H$6=0,(IF(C18=0,0,ABS(SIN(((((H18*100-(ABS(H18*100))+(ABS((H18-INT(H18))*100)/60)+INT(H18)))-270)*2)*PI()/180)/2*IF(AND(D18&lt;&gt;0,E18&lt;&gt;0),(E18-D18)*2/10,IF(AND(D18&lt;&gt;0,F18&lt;&gt;0),(F18-D18)/10,IF(AND(E18&lt;&gt;0,F18&lt;&gt;0),(F18-E18)*2/10,"?")))+C18-IF(E18=0,((F18-D18)/2+D18)/1000,E18/1000)+Y$15))),(IF(C18=0,0,ABS(SIN(((((H18*100-(ABS(H18*100))+(ABS((H18-INT(H18))*100)/60)+INT(H18)))-270)*2)*PI()/180)/2*IF(AND(D18&lt;&gt;0,E18&lt;&gt;0),(E18-D18)*2/10,IF(AND(D18&lt;&gt;0,F18&lt;&gt;0),(F18-D18)/10,IF(AND(E18&lt;&gt;0,F18&lt;&gt;0),(F18-E18)*2/10,"?")))-C18+IF(E18=0,((F18-D18)/2+D18)/1000,E18/1000)-Y$15))))</f>
        <v>800.25</v>
      </c>
      <c r="Z18" s="145">
        <f t="shared" si="0"/>
        <v>50</v>
      </c>
      <c r="AA18" s="146" t="str">
        <f>CONCATENATE(INT(W18),".",IF((W18-INT(W18))*1000&lt;10,CONCATENATE(0,0,ROUND(ABS(W18-INT(W18))*1000,0)),IF((W18-INT(W18))*1000&lt;100,CONCATENATE(0,ROUND(ABS(W18-INT(W18))*1000,0)),ROUND((W18-INT(W18))*1000,0))),",",INT(X18),".",IF((X18-INT(X18))*1000&lt;10,CONCATENATE(0,0,ROUND(ABS(X18-INT(X18))*1000,0)),IF((X18-INT(X18))*1000&lt;100,CONCATENATE(0,ROUND(ABS(X18-INT(X18))*1000,0)),ROUND((X18-INT(X18))*1000,0))))</f>
        <v>10000.000,4950.000</v>
      </c>
      <c r="AB18" s="110" t="str">
        <f>CONCATENATE(INT(W18),".",IF((W18-INT(W18))*1000&lt;10,CONCATENATE(0,0,ROUND(ABS(W18-INT(W18))*1000,0)),IF((W18-INT(W18))*1000&lt;100,CONCATENATE(0,ROUND(ABS(W18-INT(W18))*1000,0)),ROUND((W18-INT(W18))*1000,0))),",",INT(X18),".",IF((X18-INT(X18))*1000&lt;10,CONCATENATE(0,0,ROUND(ABS(X18-INT(X18))*1000,0)),IF((X18-INT(X18))*1000&lt;100,CONCATENATE(0,ROUND(ABS(X18-INT(X18))*1000,0)),ROUND((X18-INT(X18))*1000,0))),",",INT(Y18),".",IF((Y18-INT(Y18))*1000&lt;9.99999,CONCATENATE(0,0,ROUND(ABS(Y18-INT(Y18))*1000,0)),IF((Y18-INT(Y18))*1000&lt;100,CONCATENATE(0,ROUND(ABS(Y18-INT(Y18))*1000,0)),ROUND((Y18-INT(Y18))*1000,0))))</f>
        <v>10000.000,4950.000,800.250</v>
      </c>
    </row>
    <row r="19" spans="1:28" s="40" customFormat="1" ht="15.75" customHeight="1">
      <c r="A19" s="183" t="str">
        <f>IF(F$4=1,"    PERÍMETRO            =","              CAMINHAMENTO    =")</f>
        <v>    PERÍMETRO            =</v>
      </c>
      <c r="B19" s="180"/>
      <c r="C19" s="180"/>
      <c r="D19" s="180"/>
      <c r="E19" s="125">
        <f>SUM(N$9:N$18)</f>
        <v>500</v>
      </c>
      <c r="F19" s="125" t="s">
        <v>24</v>
      </c>
      <c r="G19" s="172" t="s">
        <v>45</v>
      </c>
      <c r="H19" s="173"/>
      <c r="I19" s="174"/>
      <c r="J19" s="126"/>
      <c r="K19" s="140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43"/>
      <c r="Z19" s="153" t="s">
        <v>51</v>
      </c>
      <c r="AA19" s="154"/>
      <c r="AB19" s="70"/>
    </row>
    <row r="20" spans="1:28" s="40" customFormat="1" ht="12.75" customHeight="1">
      <c r="A20" s="159" t="str">
        <f>IF(F$4=1,"    ERRO ANGULAR    =","")</f>
        <v>    ERRO ANGULAR    =</v>
      </c>
      <c r="B20" s="160"/>
      <c r="C20" s="160"/>
      <c r="D20" s="160"/>
      <c r="E20" s="127">
        <f>IF(F$4=1,(ABS(SUM(J9:J18))-360)/C$3,"")</f>
        <v>0</v>
      </c>
      <c r="F20" s="128" t="str">
        <f>IF(F$4=1," / estaca","")</f>
        <v> / estaca</v>
      </c>
      <c r="G20" s="161" t="s">
        <v>52</v>
      </c>
      <c r="H20" s="162"/>
      <c r="I20" s="163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19"/>
      <c r="Z20" s="155" t="s">
        <v>50</v>
      </c>
      <c r="AA20" s="156"/>
      <c r="AB20" s="70"/>
    </row>
    <row r="21" spans="1:28" s="40" customFormat="1" ht="13.5" thickBot="1">
      <c r="A21" s="167" t="str">
        <f>IF(F$4=1,"    ERRO LINEAR         =","")</f>
        <v>    ERRO LINEAR         =</v>
      </c>
      <c r="B21" s="168"/>
      <c r="C21" s="168"/>
      <c r="D21" s="168"/>
      <c r="E21" s="130">
        <f>IF(F$4=1,SQRT(POWER(SUM(SUM(O$9:O$18),SUM(P$9:P$18)),2)+POWER(SUM(S$9:S$18)+SUM(T$9:T$18),2)),"")</f>
        <v>0</v>
      </c>
      <c r="F21" s="131" t="str">
        <f>IF(F$4=1," total","")</f>
        <v> total</v>
      </c>
      <c r="G21" s="164"/>
      <c r="H21" s="165"/>
      <c r="I21" s="166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44"/>
      <c r="Z21" s="157" t="s">
        <v>49</v>
      </c>
      <c r="AA21" s="158"/>
      <c r="AB21" s="71"/>
    </row>
    <row r="22" spans="7:26" ht="12.75">
      <c r="G22" s="133"/>
      <c r="H22" s="150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4"/>
      <c r="Z22" s="133"/>
    </row>
    <row r="23" spans="14:24" ht="12.75"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4:24" ht="12.75">
      <c r="N24" s="75"/>
      <c r="O24" s="75"/>
      <c r="P24" s="75"/>
      <c r="Q24" s="75"/>
      <c r="R24" s="75"/>
      <c r="S24" s="75"/>
      <c r="T24" s="75"/>
      <c r="U24" s="75"/>
      <c r="V24" s="75"/>
      <c r="X24" s="73"/>
    </row>
    <row r="25" spans="14:22" ht="13.5" thickBot="1">
      <c r="N25" s="65"/>
      <c r="O25" s="65"/>
      <c r="P25" s="65"/>
      <c r="Q25" s="65"/>
      <c r="R25" s="65"/>
      <c r="S25" s="65"/>
      <c r="T25" s="65"/>
      <c r="U25" s="65"/>
      <c r="V25" s="65"/>
    </row>
    <row r="26" spans="14:28" ht="12.75" customHeight="1">
      <c r="N26" s="30"/>
      <c r="O26" s="30"/>
      <c r="P26" s="30"/>
      <c r="Q26" s="30"/>
      <c r="R26" s="30"/>
      <c r="S26" s="30"/>
      <c r="T26" s="30"/>
      <c r="U26" s="30"/>
      <c r="V26" s="30"/>
      <c r="Y26" s="30"/>
      <c r="AA26" s="30"/>
      <c r="AB26" s="30"/>
    </row>
    <row r="27" spans="25:28" ht="12.75">
      <c r="Y27" s="30"/>
      <c r="AA27" s="30"/>
      <c r="AB27" s="30"/>
    </row>
    <row r="28" spans="25:28" ht="12.75">
      <c r="Y28" s="30"/>
      <c r="AA28" s="30"/>
      <c r="AB28" s="30"/>
    </row>
  </sheetData>
  <mergeCells count="17">
    <mergeCell ref="A2:I2"/>
    <mergeCell ref="B1:I1"/>
    <mergeCell ref="A19:D19"/>
    <mergeCell ref="F3:G3"/>
    <mergeCell ref="A3:B3"/>
    <mergeCell ref="G4:I4"/>
    <mergeCell ref="A4:E4"/>
    <mergeCell ref="A6:G6"/>
    <mergeCell ref="A5:F5"/>
    <mergeCell ref="G19:I19"/>
    <mergeCell ref="A7:I7"/>
    <mergeCell ref="Z19:AA19"/>
    <mergeCell ref="Z20:AA20"/>
    <mergeCell ref="Z21:AA21"/>
    <mergeCell ref="A20:D20"/>
    <mergeCell ref="G20:I21"/>
    <mergeCell ref="A21:D21"/>
  </mergeCells>
  <printOptions/>
  <pageMargins left="0.23" right="0.18" top="1" bottom="1" header="0.492125985" footer="0.492125985"/>
  <pageSetup horizontalDpi="300" verticalDpi="300" orientation="portrait" paperSize="9" scale="90" r:id="rId4"/>
  <headerFooter alignWithMargins="0">
    <oddHeader>&amp;L&amp;A&amp;RPágina &amp;P</oddHeader>
    <oddFooter>&amp;LR.T - Zenio J. Antunes Castro - CREA 9906/TD&amp;CPágina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O mesmo</Manager>
  <Company>Zenio J. Antunes Castro (Autônomo)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5 vétices</dc:title>
  <dc:subject>Planilha de Coordenadas Topográficas</dc:subject>
  <dc:creator>Zenio J. Antunes Castro</dc:creator>
  <cp:keywords>Planilha</cp:keywords>
  <dc:description>Esta planilha calcula as coordenadas X, Y e Z; apartir dos dados de levantamentos topográficos obtidos no campo e fornece estas coordenadas em um formato compatível com o AUTOCAD.</dc:description>
  <cp:lastModifiedBy>Zenio</cp:lastModifiedBy>
  <cp:lastPrinted>2000-10-24T01:23:38Z</cp:lastPrinted>
  <dcterms:created xsi:type="dcterms:W3CDTF">2000-09-28T23:49:26Z</dcterms:created>
  <dcterms:modified xsi:type="dcterms:W3CDTF">2003-08-21T17:49:21Z</dcterms:modified>
  <cp:category>Planilha</cp:category>
  <cp:version/>
  <cp:contentType/>
  <cp:contentStatus/>
</cp:coreProperties>
</file>