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15" windowWidth="11340" windowHeight="5520" activeTab="0"/>
  </bookViews>
  <sheets>
    <sheet name="UTM_Topo_UTM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Milton Polizelli</author>
  </authors>
  <commentList>
    <comment ref="A17" authorId="0">
      <text>
        <r>
          <rPr>
            <b/>
            <sz val="8"/>
            <rFont val="Tahoma"/>
            <family val="0"/>
          </rPr>
          <t>Milton Polizelli:</t>
        </r>
        <r>
          <rPr>
            <sz val="8"/>
            <rFont val="Tahoma"/>
            <family val="0"/>
          </rPr>
          <t xml:space="preserve">
Os pontos poderão ser inseridos um a um ou importados de outro arquivo, obedecendo a estrutura da planilha (colunas = A,B,C,D).</t>
        </r>
      </text>
    </comment>
  </commentList>
</comments>
</file>

<file path=xl/sharedStrings.xml><?xml version="1.0" encoding="utf-8"?>
<sst xmlns="http://schemas.openxmlformats.org/spreadsheetml/2006/main" count="121" uniqueCount="94">
  <si>
    <t>Escolha o Datum...</t>
  </si>
  <si>
    <t>Escolha a Situação...</t>
  </si>
  <si>
    <t>a=</t>
  </si>
  <si>
    <t>Situação Escolhida...</t>
  </si>
  <si>
    <t>b=</t>
  </si>
  <si>
    <t>Datum</t>
  </si>
  <si>
    <t>Ponto</t>
  </si>
  <si>
    <t>Norte</t>
  </si>
  <si>
    <t>Este</t>
  </si>
  <si>
    <t>Altitude</t>
  </si>
  <si>
    <t>Obs:-</t>
  </si>
  <si>
    <t>OBRA:-</t>
  </si>
  <si>
    <t>Coordenadas Planas UTM</t>
  </si>
  <si>
    <t>Coordenadas Planas Topográficas</t>
  </si>
  <si>
    <t>Dist. Topográfica</t>
  </si>
  <si>
    <t>Coordenadas  Planas  Topográficas</t>
  </si>
  <si>
    <t>Pontos</t>
  </si>
  <si>
    <t>X</t>
  </si>
  <si>
    <t>Y</t>
  </si>
  <si>
    <t>Z</t>
  </si>
  <si>
    <t>STO19</t>
  </si>
  <si>
    <t>STO09</t>
  </si>
  <si>
    <t>STO06(1)</t>
  </si>
  <si>
    <t>STO06(2)</t>
  </si>
  <si>
    <t>STO06(3)</t>
  </si>
  <si>
    <t>STO08</t>
  </si>
  <si>
    <t>STO13</t>
  </si>
  <si>
    <t>STO12</t>
  </si>
  <si>
    <t>STO04=TABELA XVIII</t>
  </si>
  <si>
    <t>Projeção N(BASE)</t>
  </si>
  <si>
    <t>Projeção E(BASE)</t>
  </si>
  <si>
    <t>DIST. BASE--&gt;PONTO(STO15)</t>
  </si>
  <si>
    <t>AZIMUTE (STO16)</t>
  </si>
  <si>
    <t>K(STO07)</t>
  </si>
  <si>
    <t>Projeção N(topog.)</t>
  </si>
  <si>
    <t>Projeção E(topog.)</t>
  </si>
  <si>
    <t>STO05(4)</t>
  </si>
  <si>
    <t>STO05(3)</t>
  </si>
  <si>
    <t>STO05(2)</t>
  </si>
  <si>
    <t>STO05(1)</t>
  </si>
  <si>
    <t>STO20</t>
  </si>
  <si>
    <t>TOPO&gt;UTM</t>
  </si>
  <si>
    <t>UTM&gt;TOPO</t>
  </si>
  <si>
    <t>Dist.Base--&gt;Ponto</t>
  </si>
  <si>
    <t>Córrego Alegre</t>
  </si>
  <si>
    <t>SAD-69</t>
  </si>
  <si>
    <t>WGS-84</t>
  </si>
  <si>
    <t>d</t>
  </si>
  <si>
    <t>A=</t>
  </si>
  <si>
    <t>e=</t>
  </si>
  <si>
    <t>CALCULOS AUXILIARES</t>
  </si>
  <si>
    <r>
      <t>e</t>
    </r>
    <r>
      <rPr>
        <b/>
        <vertAlign val="superscript"/>
        <sz val="8"/>
        <color indexed="10"/>
        <rFont val="Arial"/>
        <family val="2"/>
      </rPr>
      <t>2</t>
    </r>
  </si>
  <si>
    <t>B=</t>
  </si>
  <si>
    <r>
      <t>e</t>
    </r>
    <r>
      <rPr>
        <b/>
        <vertAlign val="superscript"/>
        <sz val="10"/>
        <color indexed="10"/>
        <rFont val="Arial"/>
        <family val="2"/>
      </rPr>
      <t>2</t>
    </r>
    <r>
      <rPr>
        <b/>
        <sz val="10"/>
        <color indexed="10"/>
        <rFont val="Arial"/>
        <family val="2"/>
      </rPr>
      <t>=</t>
    </r>
  </si>
  <si>
    <t>a</t>
  </si>
  <si>
    <r>
      <t>e'</t>
    </r>
    <r>
      <rPr>
        <b/>
        <vertAlign val="superscript"/>
        <sz val="8"/>
        <color indexed="10"/>
        <rFont val="Arial"/>
        <family val="2"/>
      </rPr>
      <t>2</t>
    </r>
  </si>
  <si>
    <t>C=</t>
  </si>
  <si>
    <r>
      <t>e</t>
    </r>
    <r>
      <rPr>
        <b/>
        <vertAlign val="superscript"/>
        <sz val="10"/>
        <color indexed="10"/>
        <rFont val="Arial"/>
        <family val="2"/>
      </rPr>
      <t>4</t>
    </r>
    <r>
      <rPr>
        <b/>
        <sz val="10"/>
        <color indexed="10"/>
        <rFont val="Arial"/>
        <family val="2"/>
      </rPr>
      <t>=</t>
    </r>
  </si>
  <si>
    <t>b</t>
  </si>
  <si>
    <t>D=</t>
  </si>
  <si>
    <r>
      <t>e</t>
    </r>
    <r>
      <rPr>
        <b/>
        <vertAlign val="superscript"/>
        <sz val="10"/>
        <color indexed="10"/>
        <rFont val="Arial"/>
        <family val="2"/>
      </rPr>
      <t>6</t>
    </r>
    <r>
      <rPr>
        <b/>
        <sz val="10"/>
        <color indexed="10"/>
        <rFont val="Arial"/>
        <family val="2"/>
      </rPr>
      <t>=</t>
    </r>
  </si>
  <si>
    <t>g</t>
  </si>
  <si>
    <t>e'=</t>
  </si>
  <si>
    <t>E=</t>
  </si>
  <si>
    <r>
      <t>e</t>
    </r>
    <r>
      <rPr>
        <b/>
        <vertAlign val="superscript"/>
        <sz val="10"/>
        <color indexed="10"/>
        <rFont val="Arial"/>
        <family val="2"/>
      </rPr>
      <t>8</t>
    </r>
    <r>
      <rPr>
        <b/>
        <sz val="10"/>
        <color indexed="10"/>
        <rFont val="Arial"/>
        <family val="2"/>
      </rPr>
      <t>=</t>
    </r>
  </si>
  <si>
    <r>
      <t xml:space="preserve">e' </t>
    </r>
    <r>
      <rPr>
        <b/>
        <vertAlign val="superscript"/>
        <sz val="10"/>
        <color indexed="10"/>
        <rFont val="Arial"/>
        <family val="2"/>
      </rPr>
      <t>2</t>
    </r>
    <r>
      <rPr>
        <b/>
        <sz val="10"/>
        <color indexed="10"/>
        <rFont val="Arial"/>
        <family val="2"/>
      </rPr>
      <t>=</t>
    </r>
  </si>
  <si>
    <t>F=</t>
  </si>
  <si>
    <r>
      <t>e</t>
    </r>
    <r>
      <rPr>
        <b/>
        <vertAlign val="superscript"/>
        <sz val="10"/>
        <color indexed="10"/>
        <rFont val="Arial"/>
        <family val="2"/>
      </rPr>
      <t>10</t>
    </r>
    <r>
      <rPr>
        <b/>
        <sz val="10"/>
        <color indexed="10"/>
        <rFont val="Arial"/>
        <family val="2"/>
      </rPr>
      <t>=</t>
    </r>
  </si>
  <si>
    <t>g=</t>
  </si>
  <si>
    <t>d=</t>
  </si>
  <si>
    <t>x=</t>
  </si>
  <si>
    <r>
      <t>e</t>
    </r>
    <r>
      <rPr>
        <vertAlign val="superscript"/>
        <sz val="8"/>
        <color indexed="10"/>
        <rFont val="Arial"/>
        <family val="2"/>
      </rPr>
      <t>2</t>
    </r>
  </si>
  <si>
    <r>
      <t>e'</t>
    </r>
    <r>
      <rPr>
        <vertAlign val="superscript"/>
        <sz val="8"/>
        <color indexed="10"/>
        <rFont val="Arial"/>
        <family val="2"/>
      </rPr>
      <t>2</t>
    </r>
  </si>
  <si>
    <t>seno 1"</t>
  </si>
  <si>
    <t>Obs:</t>
  </si>
  <si>
    <r>
      <t xml:space="preserve">TRANSFORMAÇÕES DE COORDENADAS </t>
    </r>
    <r>
      <rPr>
        <i/>
        <u val="single"/>
        <sz val="13"/>
        <color indexed="10"/>
        <rFont val="Comic Sans MS"/>
        <family val="4"/>
      </rPr>
      <t>UTM--&gt;</t>
    </r>
    <r>
      <rPr>
        <i/>
        <u val="single"/>
        <sz val="13"/>
        <color indexed="12"/>
        <rFont val="Comic Sans MS"/>
        <family val="4"/>
      </rPr>
      <t>TOPOGRÁFICAS--&gt;</t>
    </r>
    <r>
      <rPr>
        <i/>
        <u val="single"/>
        <sz val="13"/>
        <color indexed="10"/>
        <rFont val="Comic Sans MS"/>
        <family val="4"/>
      </rPr>
      <t>UTM</t>
    </r>
  </si>
  <si>
    <r>
      <t xml:space="preserve">Coordenadas de Referência da </t>
    </r>
    <r>
      <rPr>
        <b/>
        <sz val="10"/>
        <color indexed="10"/>
        <rFont val="Times New Roman"/>
        <family val="1"/>
      </rPr>
      <t>BASE</t>
    </r>
    <r>
      <rPr>
        <b/>
        <sz val="10"/>
        <rFont val="Times New Roman"/>
        <family val="1"/>
      </rPr>
      <t xml:space="preserve"> ( Datum)</t>
    </r>
  </si>
  <si>
    <t>M10 A</t>
  </si>
  <si>
    <t>Marco Apoio</t>
  </si>
  <si>
    <t>Pontos de Apoio - Ponte Ligação Castilho x Tres Lagoas - Rio Paraná - Jusante Usina Jupiá</t>
  </si>
  <si>
    <t>PL 1</t>
  </si>
  <si>
    <t>PL 2</t>
  </si>
  <si>
    <t>PL 3</t>
  </si>
  <si>
    <t>PL 15</t>
  </si>
  <si>
    <t>PL 16</t>
  </si>
  <si>
    <t>PL 17</t>
  </si>
  <si>
    <t>E 149</t>
  </si>
  <si>
    <t>E 193</t>
  </si>
  <si>
    <t>M 10 B</t>
  </si>
  <si>
    <t>SP 01</t>
  </si>
  <si>
    <t>MS 01</t>
  </si>
  <si>
    <t>Cór Alegre</t>
  </si>
  <si>
    <t>Distancia da Base ao Ponto Transformado</t>
  </si>
  <si>
    <t>UTM--&gt;TOPO</t>
  </si>
</sst>
</file>

<file path=xl/styles.xml><?xml version="1.0" encoding="utf-8"?>
<styleSheet xmlns="http://schemas.openxmlformats.org/spreadsheetml/2006/main">
  <numFmts count="4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,##0.0000"/>
    <numFmt numFmtId="171" formatCode="0.0000"/>
    <numFmt numFmtId="172" formatCode="#,##0.00000000000"/>
    <numFmt numFmtId="173" formatCode="h:mm"/>
    <numFmt numFmtId="174" formatCode="#,##0.0000000000"/>
    <numFmt numFmtId="175" formatCode="#,##0.00000000"/>
    <numFmt numFmtId="176" formatCode="0.0000000000000E+00"/>
    <numFmt numFmtId="177" formatCode="#,##0.00000000000000"/>
    <numFmt numFmtId="178" formatCode="#,##0.0000000000000"/>
    <numFmt numFmtId="179" formatCode="0.000000000000000E+00"/>
    <numFmt numFmtId="180" formatCode="0.00000000000000000"/>
    <numFmt numFmtId="181" formatCode="#,##0.000000000"/>
    <numFmt numFmtId="182" formatCode="0.00000000000"/>
    <numFmt numFmtId="183" formatCode="0.000000000000"/>
    <numFmt numFmtId="184" formatCode="0.0000000000"/>
    <numFmt numFmtId="185" formatCode="0.000000000000000"/>
    <numFmt numFmtId="186" formatCode="#,##0.000000000000"/>
    <numFmt numFmtId="187" formatCode="#,##0.0000000"/>
    <numFmt numFmtId="188" formatCode="0.000000"/>
    <numFmt numFmtId="189" formatCode="0.00000000000E+00"/>
    <numFmt numFmtId="190" formatCode="0.0000000"/>
    <numFmt numFmtId="191" formatCode="0.00000"/>
    <numFmt numFmtId="192" formatCode="0.0000000000000"/>
    <numFmt numFmtId="193" formatCode="0.00000000E+00"/>
    <numFmt numFmtId="194" formatCode="0.00000000000000"/>
    <numFmt numFmtId="195" formatCode="#,##0.000"/>
  </numFmts>
  <fonts count="97">
    <font>
      <sz val="10"/>
      <name val="Arial"/>
      <family val="0"/>
    </font>
    <font>
      <b/>
      <sz val="10"/>
      <color indexed="10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9"/>
      <color indexed="18"/>
      <name val="Arial"/>
      <family val="2"/>
    </font>
    <font>
      <b/>
      <i/>
      <u val="single"/>
      <sz val="9"/>
      <color indexed="10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i/>
      <sz val="11"/>
      <name val="Arial"/>
      <family val="2"/>
    </font>
    <font>
      <b/>
      <sz val="14"/>
      <color indexed="18"/>
      <name val="Arial"/>
      <family val="2"/>
    </font>
    <font>
      <b/>
      <i/>
      <u val="single"/>
      <sz val="10"/>
      <color indexed="10"/>
      <name val="Arial"/>
      <family val="2"/>
    </font>
    <font>
      <b/>
      <i/>
      <sz val="11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 Narrow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6"/>
      <color indexed="10"/>
      <name val="Arial"/>
      <family val="2"/>
    </font>
    <font>
      <b/>
      <sz val="8"/>
      <color indexed="32"/>
      <name val="Arial"/>
      <family val="2"/>
    </font>
    <font>
      <sz val="8"/>
      <color indexed="18"/>
      <name val="Bookman Old Style"/>
      <family val="1"/>
    </font>
    <font>
      <sz val="8"/>
      <name val="Arial Narrow"/>
      <family val="2"/>
    </font>
    <font>
      <sz val="7"/>
      <name val="Arial"/>
      <family val="2"/>
    </font>
    <font>
      <b/>
      <sz val="8"/>
      <color indexed="10"/>
      <name val="Symbol"/>
      <family val="1"/>
    </font>
    <font>
      <b/>
      <vertAlign val="superscript"/>
      <sz val="8"/>
      <color indexed="10"/>
      <name val="Arial"/>
      <family val="2"/>
    </font>
    <font>
      <b/>
      <vertAlign val="superscript"/>
      <sz val="10"/>
      <color indexed="10"/>
      <name val="Arial"/>
      <family val="2"/>
    </font>
    <font>
      <sz val="8"/>
      <color indexed="10"/>
      <name val="Symbol"/>
      <family val="1"/>
    </font>
    <font>
      <sz val="8"/>
      <color indexed="10"/>
      <name val="Arial"/>
      <family val="0"/>
    </font>
    <font>
      <b/>
      <sz val="10"/>
      <color indexed="10"/>
      <name val="Symbol"/>
      <family val="0"/>
    </font>
    <font>
      <vertAlign val="superscript"/>
      <sz val="8"/>
      <color indexed="10"/>
      <name val="Arial"/>
      <family val="2"/>
    </font>
    <font>
      <sz val="13"/>
      <color indexed="18"/>
      <name val="Comic Sans MS"/>
      <family val="4"/>
    </font>
    <font>
      <i/>
      <u val="single"/>
      <sz val="13"/>
      <color indexed="10"/>
      <name val="Comic Sans MS"/>
      <family val="4"/>
    </font>
    <font>
      <i/>
      <u val="single"/>
      <sz val="13"/>
      <color indexed="12"/>
      <name val="Comic Sans MS"/>
      <family val="4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Times New Roman"/>
      <family val="1"/>
    </font>
    <font>
      <i/>
      <sz val="12"/>
      <name val="Times New Roman"/>
      <family val="1"/>
    </font>
    <font>
      <u val="single"/>
      <sz val="9"/>
      <name val="Times New Roman"/>
      <family val="1"/>
    </font>
    <font>
      <sz val="8"/>
      <color indexed="12"/>
      <name val="Times New Roman"/>
      <family val="1"/>
    </font>
    <font>
      <i/>
      <sz val="11"/>
      <name val="Times New Roman"/>
      <family val="1"/>
    </font>
    <font>
      <b/>
      <i/>
      <sz val="11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b/>
      <sz val="11"/>
      <color indexed="12"/>
      <name val="Times New Roman"/>
      <family val="1"/>
    </font>
    <font>
      <b/>
      <i/>
      <sz val="11"/>
      <name val="Times New Roman"/>
      <family val="1"/>
    </font>
    <font>
      <sz val="7"/>
      <name val="Times New Roman"/>
      <family val="1"/>
    </font>
    <font>
      <b/>
      <sz val="11"/>
      <color indexed="10"/>
      <name val="Times New Roman"/>
      <family val="1"/>
    </font>
    <font>
      <sz val="9"/>
      <color indexed="18"/>
      <name val="Times New Roman"/>
      <family val="1"/>
    </font>
    <font>
      <b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6"/>
      <name val="Times New Roman"/>
      <family val="1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206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26"/>
      </patternFill>
    </fill>
    <fill>
      <patternFill patternType="lightDown">
        <fgColor indexed="27"/>
      </patternFill>
    </fill>
    <fill>
      <patternFill patternType="lightUp">
        <fgColor indexed="47"/>
      </patternFill>
    </fill>
    <fill>
      <patternFill patternType="lightDown">
        <fgColor indexed="26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>
        <color indexed="10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ck">
        <color indexed="14"/>
      </right>
      <top style="hair"/>
      <bottom style="hair"/>
    </border>
    <border>
      <left style="thick">
        <color indexed="14"/>
      </left>
      <right style="hair"/>
      <top style="hair"/>
      <bottom style="hair"/>
    </border>
    <border>
      <left style="hair"/>
      <right style="hair"/>
      <top style="hair"/>
      <bottom style="double">
        <color indexed="53"/>
      </bottom>
    </border>
    <border>
      <left style="hair"/>
      <right style="hair"/>
      <top style="thick">
        <color indexed="14"/>
      </top>
      <bottom style="double">
        <color indexed="53"/>
      </bottom>
    </border>
    <border>
      <left style="hair"/>
      <right style="hair"/>
      <top>
        <color indexed="63"/>
      </top>
      <bottom style="double">
        <color indexed="53"/>
      </bottom>
    </border>
    <border>
      <left style="double">
        <color indexed="53"/>
      </left>
      <right>
        <color indexed="63"/>
      </right>
      <top style="hair"/>
      <bottom style="hair"/>
    </border>
    <border>
      <left style="double">
        <color indexed="53"/>
      </left>
      <right style="hair">
        <color indexed="53"/>
      </right>
      <top style="thin">
        <color indexed="53"/>
      </top>
      <bottom style="hair">
        <color indexed="53"/>
      </bottom>
    </border>
    <border>
      <left style="hair">
        <color indexed="53"/>
      </left>
      <right style="hair">
        <color indexed="53"/>
      </right>
      <top style="thin">
        <color indexed="53"/>
      </top>
      <bottom style="hair">
        <color indexed="53"/>
      </bottom>
    </border>
    <border>
      <left style="hair">
        <color indexed="53"/>
      </left>
      <right>
        <color indexed="63"/>
      </right>
      <top style="thin">
        <color indexed="53"/>
      </top>
      <bottom style="hair">
        <color indexed="53"/>
      </bottom>
    </border>
    <border>
      <left style="double">
        <color indexed="53"/>
      </left>
      <right style="hair">
        <color indexed="53"/>
      </right>
      <top style="hair">
        <color indexed="53"/>
      </top>
      <bottom style="double">
        <color indexed="53"/>
      </bottom>
    </border>
    <border>
      <left style="hair">
        <color indexed="53"/>
      </left>
      <right style="hair">
        <color indexed="53"/>
      </right>
      <top style="hair">
        <color indexed="53"/>
      </top>
      <bottom style="double">
        <color indexed="53"/>
      </bottom>
    </border>
    <border>
      <left style="hair">
        <color indexed="53"/>
      </left>
      <right>
        <color indexed="63"/>
      </right>
      <top style="hair">
        <color indexed="53"/>
      </top>
      <bottom style="double">
        <color indexed="53"/>
      </bottom>
    </border>
    <border>
      <left style="hair"/>
      <right style="hair"/>
      <top style="double">
        <color indexed="5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>
        <color indexed="55"/>
      </left>
      <right>
        <color indexed="63"/>
      </right>
      <top style="thin"/>
      <bottom style="thin"/>
    </border>
    <border>
      <left style="hair">
        <color indexed="55"/>
      </left>
      <right style="hair">
        <color indexed="55"/>
      </right>
      <top style="thin"/>
      <bottom style="hair">
        <color indexed="55"/>
      </bottom>
    </border>
    <border>
      <left style="hair">
        <color indexed="55"/>
      </left>
      <right style="double">
        <color indexed="55"/>
      </right>
      <top style="thin"/>
      <bottom style="hair">
        <color indexed="55"/>
      </bottom>
    </border>
    <border>
      <left style="double">
        <color indexed="55"/>
      </left>
      <right style="hair">
        <color indexed="55"/>
      </right>
      <top style="thin"/>
      <bottom style="hair">
        <color indexed="55"/>
      </bottom>
    </border>
    <border>
      <left style="hair">
        <color indexed="55"/>
      </left>
      <right>
        <color indexed="63"/>
      </right>
      <top style="thin"/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double">
        <color indexed="55"/>
      </right>
      <top style="hair">
        <color indexed="55"/>
      </top>
      <bottom style="hair">
        <color indexed="55"/>
      </bottom>
    </border>
    <border>
      <left style="double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>
        <color indexed="55"/>
      </right>
      <top style="thin"/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double">
        <color indexed="53"/>
      </left>
      <right>
        <color indexed="63"/>
      </right>
      <top style="double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double">
        <color indexed="53"/>
      </top>
      <bottom style="thin">
        <color indexed="53"/>
      </bottom>
    </border>
    <border>
      <left>
        <color indexed="63"/>
      </left>
      <right style="double">
        <color indexed="53"/>
      </right>
      <top style="double">
        <color indexed="53"/>
      </top>
      <bottom style="thin">
        <color indexed="5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thick">
        <color indexed="14"/>
      </right>
      <top style="thin"/>
      <bottom style="hair"/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>
        <color indexed="63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 style="thick">
        <color indexed="14"/>
      </right>
      <top>
        <color indexed="63"/>
      </top>
      <bottom style="thick">
        <color indexed="14"/>
      </bottom>
    </border>
    <border>
      <left style="thick">
        <color indexed="14"/>
      </left>
      <right>
        <color indexed="63"/>
      </right>
      <top style="hair"/>
      <bottom style="hair"/>
    </border>
    <border>
      <left style="thick">
        <color indexed="14"/>
      </left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20" borderId="0" applyNumberFormat="0" applyBorder="0" applyAlignment="0" applyProtection="0"/>
    <xf numFmtId="0" fontId="82" fillId="21" borderId="1" applyNumberFormat="0" applyAlignment="0" applyProtection="0"/>
    <xf numFmtId="0" fontId="83" fillId="22" borderId="2" applyNumberFormat="0" applyAlignment="0" applyProtection="0"/>
    <xf numFmtId="0" fontId="84" fillId="0" borderId="3" applyNumberFormat="0" applyFill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0" fillId="26" borderId="0" applyNumberFormat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5" fillId="29" borderId="1" applyNumberFormat="0" applyAlignment="0" applyProtection="0"/>
    <xf numFmtId="0" fontId="86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6" applyNumberFormat="0" applyFill="0" applyAlignment="0" applyProtection="0"/>
    <xf numFmtId="0" fontId="93" fillId="0" borderId="7" applyNumberFormat="0" applyFill="0" applyAlignment="0" applyProtection="0"/>
    <xf numFmtId="0" fontId="94" fillId="0" borderId="8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9" applyNumberFormat="0" applyFill="0" applyAlignment="0" applyProtection="0"/>
  </cellStyleXfs>
  <cellXfs count="259">
    <xf numFmtId="0" fontId="0" fillId="0" borderId="0" xfId="0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170" fontId="14" fillId="0" borderId="0" xfId="0" applyNumberFormat="1" applyFont="1" applyBorder="1" applyAlignment="1" applyProtection="1">
      <alignment horizontal="center"/>
      <protection locked="0"/>
    </xf>
    <xf numFmtId="171" fontId="14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/>
      <protection locked="0"/>
    </xf>
    <xf numFmtId="172" fontId="13" fillId="0" borderId="18" xfId="0" applyNumberFormat="1" applyFont="1" applyBorder="1" applyAlignment="1" applyProtection="1">
      <alignment/>
      <protection locked="0"/>
    </xf>
    <xf numFmtId="0" fontId="13" fillId="0" borderId="18" xfId="0" applyFont="1" applyBorder="1" applyAlignment="1" applyProtection="1">
      <alignment horizontal="right"/>
      <protection locked="0"/>
    </xf>
    <xf numFmtId="14" fontId="13" fillId="0" borderId="18" xfId="0" applyNumberFormat="1" applyFont="1" applyBorder="1" applyAlignment="1" applyProtection="1" quotePrefix="1">
      <alignment horizontal="left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20" fillId="0" borderId="19" xfId="0" applyFont="1" applyBorder="1" applyAlignment="1" applyProtection="1">
      <alignment horizontal="center"/>
      <protection locked="0"/>
    </xf>
    <xf numFmtId="0" fontId="21" fillId="0" borderId="20" xfId="0" applyFont="1" applyBorder="1" applyAlignment="1" applyProtection="1">
      <alignment horizontal="center"/>
      <protection locked="0"/>
    </xf>
    <xf numFmtId="0" fontId="19" fillId="0" borderId="21" xfId="0" applyFont="1" applyBorder="1" applyAlignment="1" applyProtection="1">
      <alignment horizontal="centerContinuous"/>
      <protection locked="0"/>
    </xf>
    <xf numFmtId="0" fontId="19" fillId="0" borderId="22" xfId="0" applyFont="1" applyBorder="1" applyAlignment="1" applyProtection="1">
      <alignment horizontal="centerContinuous"/>
      <protection locked="0"/>
    </xf>
    <xf numFmtId="0" fontId="19" fillId="0" borderId="23" xfId="0" applyFont="1" applyBorder="1" applyAlignment="1" applyProtection="1">
      <alignment horizontal="centerContinuous"/>
      <protection locked="0"/>
    </xf>
    <xf numFmtId="0" fontId="22" fillId="0" borderId="24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/>
      <protection locked="0"/>
    </xf>
    <xf numFmtId="0" fontId="22" fillId="0" borderId="25" xfId="0" applyFont="1" applyBorder="1" applyAlignment="1" applyProtection="1">
      <alignment horizontal="center"/>
      <protection locked="0"/>
    </xf>
    <xf numFmtId="0" fontId="23" fillId="0" borderId="25" xfId="0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25" fillId="0" borderId="0" xfId="0" applyFont="1" applyBorder="1" applyAlignment="1" applyProtection="1">
      <alignment horizontal="center"/>
      <protection locked="0"/>
    </xf>
    <xf numFmtId="173" fontId="17" fillId="0" borderId="25" xfId="0" applyNumberFormat="1" applyFont="1" applyBorder="1" applyAlignment="1" applyProtection="1">
      <alignment horizontal="center"/>
      <protection locked="0"/>
    </xf>
    <xf numFmtId="0" fontId="17" fillId="0" borderId="25" xfId="0" applyFont="1" applyBorder="1" applyAlignment="1" applyProtection="1">
      <alignment horizontal="center"/>
      <protection locked="0"/>
    </xf>
    <xf numFmtId="173" fontId="23" fillId="0" borderId="0" xfId="0" applyNumberFormat="1" applyFont="1" applyBorder="1" applyAlignment="1" applyProtection="1">
      <alignment horizontal="center"/>
      <protection locked="0"/>
    </xf>
    <xf numFmtId="0" fontId="21" fillId="0" borderId="26" xfId="0" applyFont="1" applyBorder="1" applyAlignment="1" applyProtection="1">
      <alignment horizontal="centerContinuous"/>
      <protection locked="0"/>
    </xf>
    <xf numFmtId="0" fontId="26" fillId="33" borderId="27" xfId="0" applyFont="1" applyFill="1" applyBorder="1" applyAlignment="1" applyProtection="1">
      <alignment horizontal="center"/>
      <protection locked="0"/>
    </xf>
    <xf numFmtId="0" fontId="26" fillId="33" borderId="28" xfId="0" applyFont="1" applyFill="1" applyBorder="1" applyAlignment="1" applyProtection="1">
      <alignment horizontal="center"/>
      <protection locked="0"/>
    </xf>
    <xf numFmtId="0" fontId="13" fillId="0" borderId="0" xfId="0" applyFont="1" applyAlignment="1" applyProtection="1">
      <alignment/>
      <protection locked="0"/>
    </xf>
    <xf numFmtId="170" fontId="13" fillId="34" borderId="0" xfId="0" applyNumberFormat="1" applyFont="1" applyFill="1" applyBorder="1" applyAlignment="1" applyProtection="1">
      <alignment horizontal="center"/>
      <protection locked="0"/>
    </xf>
    <xf numFmtId="174" fontId="13" fillId="0" borderId="0" xfId="0" applyNumberFormat="1" applyFont="1" applyBorder="1" applyAlignment="1" applyProtection="1">
      <alignment horizontal="center"/>
      <protection locked="0"/>
    </xf>
    <xf numFmtId="174" fontId="13" fillId="34" borderId="0" xfId="0" applyNumberFormat="1" applyFont="1" applyFill="1" applyBorder="1" applyAlignment="1" applyProtection="1">
      <alignment horizontal="center"/>
      <protection locked="0"/>
    </xf>
    <xf numFmtId="175" fontId="13" fillId="0" borderId="0" xfId="0" applyNumberFormat="1" applyFont="1" applyBorder="1" applyAlignment="1" applyProtection="1">
      <alignment horizontal="center"/>
      <protection locked="0"/>
    </xf>
    <xf numFmtId="175" fontId="13" fillId="34" borderId="0" xfId="0" applyNumberFormat="1" applyFont="1" applyFill="1" applyBorder="1" applyAlignment="1" applyProtection="1">
      <alignment horizontal="center"/>
      <protection locked="0"/>
    </xf>
    <xf numFmtId="176" fontId="13" fillId="34" borderId="0" xfId="0" applyNumberFormat="1" applyFont="1" applyFill="1" applyBorder="1" applyAlignment="1" applyProtection="1">
      <alignment horizontal="center"/>
      <protection locked="0"/>
    </xf>
    <xf numFmtId="177" fontId="13" fillId="34" borderId="0" xfId="0" applyNumberFormat="1" applyFont="1" applyFill="1" applyBorder="1" applyAlignment="1" applyProtection="1">
      <alignment horizontal="center"/>
      <protection locked="0"/>
    </xf>
    <xf numFmtId="178" fontId="13" fillId="34" borderId="0" xfId="0" applyNumberFormat="1" applyFont="1" applyFill="1" applyBorder="1" applyAlignment="1" applyProtection="1">
      <alignment horizontal="center"/>
      <protection locked="0"/>
    </xf>
    <xf numFmtId="179" fontId="13" fillId="0" borderId="0" xfId="0" applyNumberFormat="1" applyFont="1" applyBorder="1" applyAlignment="1" applyProtection="1">
      <alignment horizontal="center"/>
      <protection locked="0"/>
    </xf>
    <xf numFmtId="180" fontId="13" fillId="34" borderId="0" xfId="0" applyNumberFormat="1" applyFont="1" applyFill="1" applyBorder="1" applyAlignment="1" applyProtection="1">
      <alignment horizontal="center"/>
      <protection locked="0"/>
    </xf>
    <xf numFmtId="181" fontId="13" fillId="34" borderId="0" xfId="0" applyNumberFormat="1" applyFont="1" applyFill="1" applyBorder="1" applyAlignment="1" applyProtection="1">
      <alignment horizontal="center"/>
      <protection locked="0"/>
    </xf>
    <xf numFmtId="182" fontId="13" fillId="34" borderId="0" xfId="0" applyNumberFormat="1" applyFont="1" applyFill="1" applyBorder="1" applyAlignment="1" applyProtection="1">
      <alignment horizontal="center"/>
      <protection locked="0"/>
    </xf>
    <xf numFmtId="172" fontId="13" fillId="34" borderId="0" xfId="0" applyNumberFormat="1" applyFont="1" applyFill="1" applyBorder="1" applyAlignment="1" applyProtection="1">
      <alignment horizontal="center"/>
      <protection locked="0"/>
    </xf>
    <xf numFmtId="183" fontId="13" fillId="0" borderId="0" xfId="0" applyNumberFormat="1" applyFont="1" applyBorder="1" applyAlignment="1" applyProtection="1">
      <alignment horizontal="center"/>
      <protection locked="0"/>
    </xf>
    <xf numFmtId="184" fontId="13" fillId="34" borderId="0" xfId="0" applyNumberFormat="1" applyFont="1" applyFill="1" applyBorder="1" applyAlignment="1" applyProtection="1">
      <alignment horizontal="center"/>
      <protection locked="0"/>
    </xf>
    <xf numFmtId="185" fontId="13" fillId="34" borderId="0" xfId="0" applyNumberFormat="1" applyFont="1" applyFill="1" applyBorder="1" applyAlignment="1" applyProtection="1">
      <alignment horizontal="center"/>
      <protection locked="0"/>
    </xf>
    <xf numFmtId="170" fontId="13" fillId="0" borderId="0" xfId="0" applyNumberFormat="1" applyFont="1" applyBorder="1" applyAlignment="1" applyProtection="1">
      <alignment horizontal="center"/>
      <protection locked="0"/>
    </xf>
    <xf numFmtId="186" fontId="13" fillId="34" borderId="0" xfId="0" applyNumberFormat="1" applyFont="1" applyFill="1" applyBorder="1" applyAlignment="1" applyProtection="1">
      <alignment horizontal="center"/>
      <protection locked="0"/>
    </xf>
    <xf numFmtId="186" fontId="13" fillId="0" borderId="0" xfId="0" applyNumberFormat="1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171" fontId="13" fillId="0" borderId="0" xfId="0" applyNumberFormat="1" applyFont="1" applyBorder="1" applyAlignment="1" applyProtection="1">
      <alignment horizontal="center"/>
      <protection locked="0"/>
    </xf>
    <xf numFmtId="187" fontId="13" fillId="0" borderId="0" xfId="0" applyNumberFormat="1" applyFont="1" applyBorder="1" applyAlignment="1" applyProtection="1">
      <alignment horizontal="center"/>
      <protection locked="0"/>
    </xf>
    <xf numFmtId="187" fontId="13" fillId="0" borderId="0" xfId="0" applyNumberFormat="1" applyFont="1" applyFill="1" applyBorder="1" applyAlignment="1" applyProtection="1">
      <alignment horizontal="center"/>
      <protection locked="0"/>
    </xf>
    <xf numFmtId="170" fontId="13" fillId="0" borderId="0" xfId="0" applyNumberFormat="1" applyFont="1" applyFill="1" applyBorder="1" applyAlignment="1" applyProtection="1">
      <alignment horizontal="center"/>
      <protection locked="0"/>
    </xf>
    <xf numFmtId="170" fontId="8" fillId="35" borderId="0" xfId="0" applyNumberFormat="1" applyFont="1" applyFill="1" applyBorder="1" applyAlignment="1" applyProtection="1">
      <alignment horizontal="center"/>
      <protection locked="0"/>
    </xf>
    <xf numFmtId="171" fontId="8" fillId="35" borderId="0" xfId="0" applyNumberFormat="1" applyFont="1" applyFill="1" applyBorder="1" applyAlignment="1" applyProtection="1">
      <alignment horizontal="center"/>
      <protection locked="0"/>
    </xf>
    <xf numFmtId="176" fontId="13" fillId="0" borderId="0" xfId="0" applyNumberFormat="1" applyFont="1" applyBorder="1" applyAlignment="1" applyProtection="1">
      <alignment horizontal="center"/>
      <protection locked="0"/>
    </xf>
    <xf numFmtId="177" fontId="13" fillId="0" borderId="0" xfId="0" applyNumberFormat="1" applyFont="1" applyBorder="1" applyAlignment="1" applyProtection="1">
      <alignment horizontal="center"/>
      <protection locked="0"/>
    </xf>
    <xf numFmtId="178" fontId="13" fillId="0" borderId="0" xfId="0" applyNumberFormat="1" applyFont="1" applyBorder="1" applyAlignment="1" applyProtection="1">
      <alignment horizontal="center"/>
      <protection locked="0"/>
    </xf>
    <xf numFmtId="180" fontId="13" fillId="0" borderId="0" xfId="0" applyNumberFormat="1" applyFont="1" applyBorder="1" applyAlignment="1" applyProtection="1">
      <alignment horizontal="center"/>
      <protection locked="0"/>
    </xf>
    <xf numFmtId="181" fontId="13" fillId="0" borderId="0" xfId="0" applyNumberFormat="1" applyFont="1" applyBorder="1" applyAlignment="1" applyProtection="1">
      <alignment horizontal="center"/>
      <protection locked="0"/>
    </xf>
    <xf numFmtId="182" fontId="13" fillId="0" borderId="0" xfId="0" applyNumberFormat="1" applyFont="1" applyBorder="1" applyAlignment="1" applyProtection="1">
      <alignment horizontal="center"/>
      <protection locked="0"/>
    </xf>
    <xf numFmtId="172" fontId="13" fillId="0" borderId="0" xfId="0" applyNumberFormat="1" applyFont="1" applyBorder="1" applyAlignment="1" applyProtection="1">
      <alignment horizontal="center"/>
      <protection locked="0"/>
    </xf>
    <xf numFmtId="184" fontId="13" fillId="0" borderId="0" xfId="0" applyNumberFormat="1" applyFont="1" applyBorder="1" applyAlignment="1" applyProtection="1">
      <alignment horizontal="center"/>
      <protection locked="0"/>
    </xf>
    <xf numFmtId="185" fontId="13" fillId="0" borderId="0" xfId="0" applyNumberFormat="1" applyFont="1" applyBorder="1" applyAlignment="1" applyProtection="1">
      <alignment horizontal="center"/>
      <protection locked="0"/>
    </xf>
    <xf numFmtId="171" fontId="13" fillId="35" borderId="0" xfId="0" applyNumberFormat="1" applyFont="1" applyFill="1" applyBorder="1" applyAlignment="1" applyProtection="1">
      <alignment horizontal="center"/>
      <protection locked="0"/>
    </xf>
    <xf numFmtId="170" fontId="0" fillId="0" borderId="0" xfId="0" applyNumberFormat="1" applyAlignment="1" applyProtection="1">
      <alignment/>
      <protection locked="0"/>
    </xf>
    <xf numFmtId="170" fontId="13" fillId="0" borderId="0" xfId="0" applyNumberFormat="1" applyFont="1" applyBorder="1" applyAlignment="1" applyProtection="1">
      <alignment horizontal="center"/>
      <protection locked="0"/>
    </xf>
    <xf numFmtId="174" fontId="13" fillId="0" borderId="0" xfId="0" applyNumberFormat="1" applyFont="1" applyBorder="1" applyAlignment="1" applyProtection="1">
      <alignment horizontal="center"/>
      <protection locked="0"/>
    </xf>
    <xf numFmtId="175" fontId="13" fillId="0" borderId="0" xfId="0" applyNumberFormat="1" applyFont="1" applyBorder="1" applyAlignment="1" applyProtection="1">
      <alignment horizontal="center"/>
      <protection locked="0"/>
    </xf>
    <xf numFmtId="176" fontId="13" fillId="0" borderId="0" xfId="0" applyNumberFormat="1" applyFont="1" applyBorder="1" applyAlignment="1" applyProtection="1">
      <alignment horizontal="center"/>
      <protection locked="0"/>
    </xf>
    <xf numFmtId="177" fontId="13" fillId="0" borderId="0" xfId="0" applyNumberFormat="1" applyFont="1" applyBorder="1" applyAlignment="1" applyProtection="1">
      <alignment horizontal="center"/>
      <protection locked="0"/>
    </xf>
    <xf numFmtId="178" fontId="13" fillId="0" borderId="0" xfId="0" applyNumberFormat="1" applyFont="1" applyBorder="1" applyAlignment="1" applyProtection="1">
      <alignment horizontal="center"/>
      <protection locked="0"/>
    </xf>
    <xf numFmtId="179" fontId="13" fillId="0" borderId="0" xfId="0" applyNumberFormat="1" applyFont="1" applyBorder="1" applyAlignment="1" applyProtection="1">
      <alignment horizontal="center"/>
      <protection locked="0"/>
    </xf>
    <xf numFmtId="180" fontId="13" fillId="0" borderId="0" xfId="0" applyNumberFormat="1" applyFont="1" applyBorder="1" applyAlignment="1" applyProtection="1">
      <alignment horizontal="center"/>
      <protection locked="0"/>
    </xf>
    <xf numFmtId="182" fontId="27" fillId="0" borderId="0" xfId="0" applyNumberFormat="1" applyFont="1" applyBorder="1" applyAlignment="1" applyProtection="1">
      <alignment horizontal="center"/>
      <protection locked="0"/>
    </xf>
    <xf numFmtId="172" fontId="13" fillId="0" borderId="0" xfId="0" applyNumberFormat="1" applyFont="1" applyBorder="1" applyAlignment="1" applyProtection="1">
      <alignment horizontal="center"/>
      <protection locked="0"/>
    </xf>
    <xf numFmtId="183" fontId="13" fillId="0" borderId="0" xfId="0" applyNumberFormat="1" applyFont="1" applyBorder="1" applyAlignment="1" applyProtection="1">
      <alignment horizontal="center"/>
      <protection locked="0"/>
    </xf>
    <xf numFmtId="184" fontId="13" fillId="0" borderId="0" xfId="0" applyNumberFormat="1" applyFont="1" applyBorder="1" applyAlignment="1" applyProtection="1">
      <alignment horizontal="center"/>
      <protection locked="0"/>
    </xf>
    <xf numFmtId="185" fontId="13" fillId="0" borderId="0" xfId="0" applyNumberFormat="1" applyFont="1" applyBorder="1" applyAlignment="1" applyProtection="1">
      <alignment horizontal="center"/>
      <protection locked="0"/>
    </xf>
    <xf numFmtId="186" fontId="13" fillId="0" borderId="0" xfId="0" applyNumberFormat="1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170" fontId="27" fillId="0" borderId="0" xfId="0" applyNumberFormat="1" applyFont="1" applyBorder="1" applyAlignment="1" applyProtection="1">
      <alignment horizontal="center"/>
      <protection locked="0"/>
    </xf>
    <xf numFmtId="171" fontId="13" fillId="0" borderId="0" xfId="0" applyNumberFormat="1" applyFont="1" applyBorder="1" applyAlignment="1" applyProtection="1">
      <alignment horizontal="center"/>
      <protection locked="0"/>
    </xf>
    <xf numFmtId="170" fontId="13" fillId="35" borderId="0" xfId="0" applyNumberFormat="1" applyFont="1" applyFill="1" applyBorder="1" applyAlignment="1" applyProtection="1">
      <alignment horizontal="center"/>
      <protection locked="0"/>
    </xf>
    <xf numFmtId="171" fontId="13" fillId="35" borderId="0" xfId="0" applyNumberFormat="1" applyFont="1" applyFill="1" applyBorder="1" applyAlignment="1" applyProtection="1">
      <alignment horizontal="center"/>
      <protection locked="0"/>
    </xf>
    <xf numFmtId="0" fontId="13" fillId="36" borderId="0" xfId="0" applyFont="1" applyFill="1" applyBorder="1" applyAlignment="1" applyProtection="1">
      <alignment horizontal="center"/>
      <protection locked="0"/>
    </xf>
    <xf numFmtId="0" fontId="13" fillId="37" borderId="0" xfId="0" applyFont="1" applyFill="1" applyBorder="1" applyAlignment="1" applyProtection="1">
      <alignment horizontal="center"/>
      <protection locked="0"/>
    </xf>
    <xf numFmtId="0" fontId="13" fillId="38" borderId="0" xfId="0" applyFont="1" applyFill="1" applyBorder="1" applyAlignment="1" applyProtection="1">
      <alignment horizontal="center"/>
      <protection locked="0"/>
    </xf>
    <xf numFmtId="1" fontId="1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170" fontId="28" fillId="36" borderId="0" xfId="0" applyNumberFormat="1" applyFont="1" applyFill="1" applyBorder="1" applyAlignment="1" applyProtection="1">
      <alignment/>
      <protection locked="0"/>
    </xf>
    <xf numFmtId="170" fontId="28" fillId="37" borderId="0" xfId="0" applyNumberFormat="1" applyFont="1" applyFill="1" applyBorder="1" applyAlignment="1" applyProtection="1">
      <alignment/>
      <protection locked="0"/>
    </xf>
    <xf numFmtId="170" fontId="28" fillId="38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29" fillId="0" borderId="0" xfId="0" applyFont="1" applyBorder="1" applyAlignment="1" applyProtection="1">
      <alignment horizontal="right"/>
      <protection locked="0"/>
    </xf>
    <xf numFmtId="182" fontId="13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187" fontId="28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177" fontId="28" fillId="0" borderId="0" xfId="0" applyNumberFormat="1" applyFont="1" applyFill="1" applyBorder="1" applyAlignment="1" applyProtection="1" quotePrefix="1">
      <alignment horizontal="left" vertical="center"/>
      <protection locked="0"/>
    </xf>
    <xf numFmtId="172" fontId="28" fillId="0" borderId="0" xfId="0" applyNumberFormat="1" applyFont="1" applyFill="1" applyBorder="1" applyAlignment="1" applyProtection="1">
      <alignment horizontal="left" vertical="center"/>
      <protection locked="0"/>
    </xf>
    <xf numFmtId="183" fontId="13" fillId="37" borderId="0" xfId="0" applyNumberFormat="1" applyFont="1" applyFill="1" applyBorder="1" applyAlignment="1" applyProtection="1">
      <alignment horizontal="left"/>
      <protection locked="0"/>
    </xf>
    <xf numFmtId="0" fontId="0" fillId="37" borderId="0" xfId="0" applyFill="1" applyBorder="1" applyAlignment="1" applyProtection="1">
      <alignment/>
      <protection locked="0"/>
    </xf>
    <xf numFmtId="184" fontId="13" fillId="37" borderId="0" xfId="0" applyNumberFormat="1" applyFont="1" applyFill="1" applyBorder="1" applyAlignment="1" applyProtection="1">
      <alignment horizontal="left"/>
      <protection locked="0"/>
    </xf>
    <xf numFmtId="171" fontId="23" fillId="0" borderId="0" xfId="0" applyNumberFormat="1" applyFont="1" applyBorder="1" applyAlignment="1" applyProtection="1">
      <alignment horizontal="right"/>
      <protection locked="0"/>
    </xf>
    <xf numFmtId="184" fontId="13" fillId="0" borderId="0" xfId="0" applyNumberFormat="1" applyFont="1" applyBorder="1" applyAlignment="1" applyProtection="1">
      <alignment horizontal="left"/>
      <protection locked="0"/>
    </xf>
    <xf numFmtId="177" fontId="28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 quotePrefix="1">
      <alignment horizontal="right" vertical="center"/>
      <protection locked="0"/>
    </xf>
    <xf numFmtId="0" fontId="32" fillId="37" borderId="0" xfId="0" applyFont="1" applyFill="1" applyBorder="1" applyAlignment="1" applyProtection="1">
      <alignment horizontal="right"/>
      <protection locked="0"/>
    </xf>
    <xf numFmtId="188" fontId="13" fillId="37" borderId="0" xfId="0" applyNumberFormat="1" applyFont="1" applyFill="1" applyBorder="1" applyAlignment="1" applyProtection="1">
      <alignment horizontal="left"/>
      <protection locked="0"/>
    </xf>
    <xf numFmtId="184" fontId="28" fillId="37" borderId="0" xfId="0" applyNumberFormat="1" applyFont="1" applyFill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 horizontal="right"/>
      <protection locked="0"/>
    </xf>
    <xf numFmtId="189" fontId="28" fillId="0" borderId="0" xfId="0" applyNumberFormat="1" applyFont="1" applyFill="1" applyBorder="1" applyAlignment="1" applyProtection="1">
      <alignment horizontal="left" vertical="center"/>
      <protection locked="0"/>
    </xf>
    <xf numFmtId="171" fontId="32" fillId="37" borderId="0" xfId="0" applyNumberFormat="1" applyFont="1" applyFill="1" applyBorder="1" applyAlignment="1" applyProtection="1">
      <alignment horizontal="right"/>
      <protection locked="0"/>
    </xf>
    <xf numFmtId="190" fontId="13" fillId="37" borderId="0" xfId="0" applyNumberFormat="1" applyFont="1" applyFill="1" applyBorder="1" applyAlignment="1" applyProtection="1">
      <alignment horizontal="left"/>
      <protection locked="0"/>
    </xf>
    <xf numFmtId="1" fontId="28" fillId="37" borderId="0" xfId="0" applyNumberFormat="1" applyFont="1" applyFill="1" applyBorder="1" applyAlignment="1" applyProtection="1">
      <alignment horizontal="left"/>
      <protection locked="0"/>
    </xf>
    <xf numFmtId="184" fontId="13" fillId="37" borderId="0" xfId="0" applyNumberFormat="1" applyFont="1" applyFill="1" applyBorder="1" applyAlignment="1" applyProtection="1">
      <alignment horizontal="left"/>
      <protection locked="0"/>
    </xf>
    <xf numFmtId="0" fontId="28" fillId="37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 quotePrefix="1">
      <alignment horizontal="right" vertical="top"/>
      <protection locked="0"/>
    </xf>
    <xf numFmtId="0" fontId="33" fillId="37" borderId="0" xfId="0" applyFont="1" applyFill="1" applyBorder="1" applyAlignment="1" applyProtection="1">
      <alignment horizontal="right"/>
      <protection locked="0"/>
    </xf>
    <xf numFmtId="1" fontId="13" fillId="37" borderId="0" xfId="0" applyNumberFormat="1" applyFont="1" applyFill="1" applyBorder="1" applyAlignment="1" applyProtection="1">
      <alignment horizontal="left"/>
      <protection locked="0"/>
    </xf>
    <xf numFmtId="178" fontId="13" fillId="0" borderId="0" xfId="0" applyNumberFormat="1" applyFont="1" applyBorder="1" applyAlignment="1" applyProtection="1">
      <alignment horizontal="left"/>
      <protection locked="0"/>
    </xf>
    <xf numFmtId="0" fontId="33" fillId="37" borderId="0" xfId="0" applyFont="1" applyFill="1" applyBorder="1" applyAlignment="1" applyProtection="1">
      <alignment horizontal="right"/>
      <protection locked="0"/>
    </xf>
    <xf numFmtId="191" fontId="13" fillId="37" borderId="0" xfId="0" applyNumberFormat="1" applyFont="1" applyFill="1" applyBorder="1" applyAlignment="1" applyProtection="1">
      <alignment horizontal="left"/>
      <protection locked="0"/>
    </xf>
    <xf numFmtId="0" fontId="33" fillId="37" borderId="0" xfId="0" applyFont="1" applyFill="1" applyBorder="1" applyAlignment="1" applyProtection="1">
      <alignment/>
      <protection locked="0"/>
    </xf>
    <xf numFmtId="1" fontId="13" fillId="0" borderId="0" xfId="0" applyNumberFormat="1" applyFont="1" applyBorder="1" applyAlignment="1" applyProtection="1">
      <alignment horizontal="left"/>
      <protection locked="0"/>
    </xf>
    <xf numFmtId="0" fontId="34" fillId="0" borderId="0" xfId="0" applyFont="1" applyFill="1" applyBorder="1" applyAlignment="1" applyProtection="1">
      <alignment horizontal="right" vertical="center"/>
      <protection locked="0"/>
    </xf>
    <xf numFmtId="181" fontId="28" fillId="0" borderId="0" xfId="0" applyNumberFormat="1" applyFont="1" applyFill="1" applyBorder="1" applyAlignment="1" applyProtection="1">
      <alignment horizontal="left" vertical="center"/>
      <protection locked="0"/>
    </xf>
    <xf numFmtId="0" fontId="34" fillId="0" borderId="0" xfId="0" applyFont="1" applyFill="1" applyBorder="1" applyAlignment="1" applyProtection="1">
      <alignment horizontal="right" vertical="center"/>
      <protection locked="0"/>
    </xf>
    <xf numFmtId="192" fontId="28" fillId="0" borderId="0" xfId="0" applyNumberFormat="1" applyFont="1" applyFill="1" applyBorder="1" applyAlignment="1" applyProtection="1">
      <alignment horizontal="left" vertical="center"/>
      <protection locked="0"/>
    </xf>
    <xf numFmtId="193" fontId="28" fillId="0" borderId="0" xfId="0" applyNumberFormat="1" applyFont="1" applyFill="1" applyBorder="1" applyAlignment="1" applyProtection="1">
      <alignment horizontal="left" vertical="center"/>
      <protection locked="0"/>
    </xf>
    <xf numFmtId="182" fontId="13" fillId="37" borderId="0" xfId="0" applyNumberFormat="1" applyFont="1" applyFill="1" applyBorder="1" applyAlignment="1" applyProtection="1">
      <alignment horizontal="left"/>
      <protection locked="0"/>
    </xf>
    <xf numFmtId="174" fontId="28" fillId="0" borderId="0" xfId="0" applyNumberFormat="1" applyFont="1" applyFill="1" applyBorder="1" applyAlignment="1" applyProtection="1">
      <alignment horizontal="left" vertical="center"/>
      <protection locked="0"/>
    </xf>
    <xf numFmtId="194" fontId="28" fillId="0" borderId="0" xfId="0" applyNumberFormat="1" applyFont="1" applyFill="1" applyBorder="1" applyAlignment="1" applyProtection="1">
      <alignment horizontal="left" vertical="center"/>
      <protection locked="0"/>
    </xf>
    <xf numFmtId="171" fontId="33" fillId="37" borderId="0" xfId="0" applyNumberFormat="1" applyFont="1" applyFill="1" applyBorder="1" applyAlignment="1" applyProtection="1">
      <alignment horizontal="right"/>
      <protection locked="0"/>
    </xf>
    <xf numFmtId="0" fontId="13" fillId="37" borderId="0" xfId="0" applyFont="1" applyFill="1" applyBorder="1" applyAlignment="1" applyProtection="1">
      <alignment horizontal="right"/>
      <protection locked="0"/>
    </xf>
    <xf numFmtId="183" fontId="13" fillId="37" borderId="0" xfId="0" applyNumberFormat="1" applyFont="1" applyFill="1" applyBorder="1" applyAlignment="1" applyProtection="1">
      <alignment horizontal="left"/>
      <protection locked="0"/>
    </xf>
    <xf numFmtId="0" fontId="28" fillId="37" borderId="0" xfId="0" applyFont="1" applyFill="1" applyBorder="1" applyAlignment="1" applyProtection="1">
      <alignment horizontal="center"/>
      <protection locked="0"/>
    </xf>
    <xf numFmtId="182" fontId="13" fillId="37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171" fontId="13" fillId="0" borderId="0" xfId="0" applyNumberFormat="1" applyFont="1" applyFill="1" applyBorder="1" applyAlignment="1" applyProtection="1">
      <alignment horizontal="center"/>
      <protection locked="0"/>
    </xf>
    <xf numFmtId="0" fontId="36" fillId="0" borderId="19" xfId="0" applyFont="1" applyBorder="1" applyAlignment="1" applyProtection="1">
      <alignment horizontal="center"/>
      <protection locked="0"/>
    </xf>
    <xf numFmtId="0" fontId="36" fillId="0" borderId="10" xfId="0" applyFont="1" applyBorder="1" applyAlignment="1" applyProtection="1">
      <alignment horizontal="center"/>
      <protection locked="0"/>
    </xf>
    <xf numFmtId="170" fontId="43" fillId="0" borderId="0" xfId="0" applyNumberFormat="1" applyFont="1" applyBorder="1" applyAlignment="1" applyProtection="1">
      <alignment horizontal="center"/>
      <protection locked="0"/>
    </xf>
    <xf numFmtId="0" fontId="45" fillId="0" borderId="15" xfId="0" applyFont="1" applyBorder="1" applyAlignment="1" applyProtection="1">
      <alignment horizontal="center" vertical="center"/>
      <protection locked="0"/>
    </xf>
    <xf numFmtId="0" fontId="45" fillId="0" borderId="29" xfId="0" applyFont="1" applyBorder="1" applyAlignment="1" applyProtection="1">
      <alignment horizontal="center" vertical="center"/>
      <protection locked="0"/>
    </xf>
    <xf numFmtId="0" fontId="45" fillId="0" borderId="30" xfId="0" applyFont="1" applyBorder="1" applyAlignment="1" applyProtection="1">
      <alignment horizontal="center" vertical="center"/>
      <protection locked="0"/>
    </xf>
    <xf numFmtId="0" fontId="45" fillId="0" borderId="16" xfId="0" applyFont="1" applyBorder="1" applyAlignment="1" applyProtection="1">
      <alignment horizontal="center" vertical="center"/>
      <protection locked="0"/>
    </xf>
    <xf numFmtId="170" fontId="46" fillId="0" borderId="15" xfId="0" applyNumberFormat="1" applyFont="1" applyBorder="1" applyAlignment="1" applyProtection="1">
      <alignment/>
      <protection locked="0"/>
    </xf>
    <xf numFmtId="170" fontId="46" fillId="0" borderId="29" xfId="0" applyNumberFormat="1" applyFont="1" applyBorder="1" applyAlignment="1" applyProtection="1">
      <alignment/>
      <protection locked="0"/>
    </xf>
    <xf numFmtId="170" fontId="43" fillId="0" borderId="0" xfId="0" applyNumberFormat="1" applyFont="1" applyAlignment="1" applyProtection="1">
      <alignment/>
      <protection locked="0"/>
    </xf>
    <xf numFmtId="0" fontId="49" fillId="0" borderId="0" xfId="0" applyFont="1" applyBorder="1" applyAlignment="1" applyProtection="1">
      <alignment horizontal="center"/>
      <protection locked="0"/>
    </xf>
    <xf numFmtId="0" fontId="50" fillId="0" borderId="0" xfId="0" applyFont="1" applyAlignment="1" applyProtection="1">
      <alignment horizontal="center"/>
      <protection locked="0"/>
    </xf>
    <xf numFmtId="0" fontId="50" fillId="0" borderId="31" xfId="0" applyFont="1" applyBorder="1" applyAlignment="1" applyProtection="1">
      <alignment/>
      <protection locked="0"/>
    </xf>
    <xf numFmtId="0" fontId="50" fillId="0" borderId="32" xfId="0" applyFont="1" applyBorder="1" applyAlignment="1" applyProtection="1">
      <alignment/>
      <protection locked="0"/>
    </xf>
    <xf numFmtId="0" fontId="50" fillId="0" borderId="33" xfId="0" applyFont="1" applyBorder="1" applyAlignment="1" applyProtection="1">
      <alignment/>
      <protection locked="0"/>
    </xf>
    <xf numFmtId="0" fontId="50" fillId="0" borderId="17" xfId="0" applyFont="1" applyBorder="1" applyAlignment="1" applyProtection="1">
      <alignment/>
      <protection locked="0"/>
    </xf>
    <xf numFmtId="0" fontId="49" fillId="0" borderId="34" xfId="0" applyFont="1" applyBorder="1" applyAlignment="1" applyProtection="1">
      <alignment horizontal="center" vertical="center"/>
      <protection locked="0"/>
    </xf>
    <xf numFmtId="0" fontId="52" fillId="39" borderId="35" xfId="0" applyFont="1" applyFill="1" applyBorder="1" applyAlignment="1" applyProtection="1">
      <alignment horizontal="center"/>
      <protection locked="0"/>
    </xf>
    <xf numFmtId="170" fontId="49" fillId="39" borderId="36" xfId="0" applyNumberFormat="1" applyFont="1" applyFill="1" applyBorder="1" applyAlignment="1" applyProtection="1">
      <alignment horizontal="center"/>
      <protection locked="0"/>
    </xf>
    <xf numFmtId="0" fontId="49" fillId="39" borderId="36" xfId="0" applyFont="1" applyFill="1" applyBorder="1" applyAlignment="1" applyProtection="1">
      <alignment horizontal="center"/>
      <protection locked="0"/>
    </xf>
    <xf numFmtId="0" fontId="49" fillId="39" borderId="37" xfId="0" applyFont="1" applyFill="1" applyBorder="1" applyAlignment="1" applyProtection="1">
      <alignment horizontal="center"/>
      <protection locked="0"/>
    </xf>
    <xf numFmtId="0" fontId="50" fillId="0" borderId="34" xfId="0" applyFont="1" applyBorder="1" applyAlignment="1" applyProtection="1">
      <alignment/>
      <protection locked="0"/>
    </xf>
    <xf numFmtId="0" fontId="48" fillId="40" borderId="38" xfId="0" applyFont="1" applyFill="1" applyBorder="1" applyAlignment="1" applyProtection="1">
      <alignment horizontal="center"/>
      <protection locked="0"/>
    </xf>
    <xf numFmtId="0" fontId="53" fillId="40" borderId="39" xfId="0" applyFont="1" applyFill="1" applyBorder="1" applyAlignment="1" applyProtection="1">
      <alignment horizontal="center"/>
      <protection locked="0"/>
    </xf>
    <xf numFmtId="170" fontId="39" fillId="40" borderId="39" xfId="0" applyNumberFormat="1" applyFont="1" applyFill="1" applyBorder="1" applyAlignment="1" applyProtection="1">
      <alignment horizontal="center"/>
      <protection locked="0"/>
    </xf>
    <xf numFmtId="0" fontId="43" fillId="40" borderId="40" xfId="0" applyFont="1" applyFill="1" applyBorder="1" applyAlignment="1" applyProtection="1">
      <alignment horizontal="center"/>
      <protection locked="0"/>
    </xf>
    <xf numFmtId="0" fontId="49" fillId="0" borderId="41" xfId="0" applyFont="1" applyBorder="1" applyAlignment="1" applyProtection="1">
      <alignment horizontal="center"/>
      <protection locked="0"/>
    </xf>
    <xf numFmtId="0" fontId="49" fillId="0" borderId="42" xfId="0" applyFont="1" applyBorder="1" applyAlignment="1" applyProtection="1">
      <alignment horizontal="center"/>
      <protection locked="0"/>
    </xf>
    <xf numFmtId="0" fontId="54" fillId="0" borderId="0" xfId="0" applyFont="1" applyBorder="1" applyAlignment="1" applyProtection="1">
      <alignment horizontal="center"/>
      <protection locked="0"/>
    </xf>
    <xf numFmtId="170" fontId="53" fillId="0" borderId="22" xfId="0" applyNumberFormat="1" applyFont="1" applyBorder="1" applyAlignment="1" applyProtection="1">
      <alignment horizontal="center"/>
      <protection locked="0"/>
    </xf>
    <xf numFmtId="171" fontId="53" fillId="0" borderId="22" xfId="0" applyNumberFormat="1" applyFont="1" applyBorder="1" applyAlignment="1" applyProtection="1">
      <alignment horizontal="center"/>
      <protection locked="0"/>
    </xf>
    <xf numFmtId="0" fontId="58" fillId="0" borderId="43" xfId="0" applyFont="1" applyBorder="1" applyAlignment="1" applyProtection="1">
      <alignment horizontal="center"/>
      <protection hidden="1"/>
    </xf>
    <xf numFmtId="0" fontId="58" fillId="0" borderId="23" xfId="0" applyFont="1" applyBorder="1" applyAlignment="1" applyProtection="1">
      <alignment horizontal="center"/>
      <protection hidden="1"/>
    </xf>
    <xf numFmtId="170" fontId="43" fillId="0" borderId="44" xfId="0" applyNumberFormat="1" applyFont="1" applyBorder="1" applyAlignment="1" applyProtection="1">
      <alignment horizontal="center"/>
      <protection locked="0"/>
    </xf>
    <xf numFmtId="195" fontId="43" fillId="0" borderId="44" xfId="0" applyNumberFormat="1" applyFont="1" applyBorder="1" applyAlignment="1" applyProtection="1">
      <alignment horizontal="center"/>
      <protection locked="0"/>
    </xf>
    <xf numFmtId="170" fontId="43" fillId="0" borderId="45" xfId="0" applyNumberFormat="1" applyFont="1" applyBorder="1" applyAlignment="1" applyProtection="1">
      <alignment horizontal="center"/>
      <protection hidden="1"/>
    </xf>
    <xf numFmtId="170" fontId="43" fillId="0" borderId="46" xfId="0" applyNumberFormat="1" applyFont="1" applyFill="1" applyBorder="1" applyAlignment="1" applyProtection="1">
      <alignment horizontal="center"/>
      <protection hidden="1"/>
    </xf>
    <xf numFmtId="170" fontId="43" fillId="0" borderId="44" xfId="0" applyNumberFormat="1" applyFont="1" applyFill="1" applyBorder="1" applyAlignment="1" applyProtection="1">
      <alignment horizontal="center"/>
      <protection hidden="1"/>
    </xf>
    <xf numFmtId="195" fontId="43" fillId="0" borderId="47" xfId="0" applyNumberFormat="1" applyFont="1" applyFill="1" applyBorder="1" applyAlignment="1" applyProtection="1">
      <alignment horizontal="center"/>
      <protection hidden="1"/>
    </xf>
    <xf numFmtId="170" fontId="43" fillId="0" borderId="48" xfId="0" applyNumberFormat="1" applyFont="1" applyBorder="1" applyAlignment="1" applyProtection="1">
      <alignment horizontal="center"/>
      <protection locked="0"/>
    </xf>
    <xf numFmtId="195" fontId="43" fillId="0" borderId="48" xfId="0" applyNumberFormat="1" applyFont="1" applyBorder="1" applyAlignment="1" applyProtection="1">
      <alignment horizontal="center"/>
      <protection locked="0"/>
    </xf>
    <xf numFmtId="170" fontId="43" fillId="0" borderId="49" xfId="0" applyNumberFormat="1" applyFont="1" applyBorder="1" applyAlignment="1" applyProtection="1">
      <alignment horizontal="center"/>
      <protection hidden="1"/>
    </xf>
    <xf numFmtId="170" fontId="43" fillId="0" borderId="50" xfId="0" applyNumberFormat="1" applyFont="1" applyFill="1" applyBorder="1" applyAlignment="1" applyProtection="1">
      <alignment horizontal="center"/>
      <protection hidden="1"/>
    </xf>
    <xf numFmtId="170" fontId="43" fillId="0" borderId="48" xfId="0" applyNumberFormat="1" applyFont="1" applyFill="1" applyBorder="1" applyAlignment="1" applyProtection="1">
      <alignment horizontal="center"/>
      <protection hidden="1"/>
    </xf>
    <xf numFmtId="195" fontId="43" fillId="0" borderId="51" xfId="0" applyNumberFormat="1" applyFont="1" applyFill="1" applyBorder="1" applyAlignment="1" applyProtection="1">
      <alignment horizontal="center"/>
      <protection hidden="1"/>
    </xf>
    <xf numFmtId="170" fontId="43" fillId="0" borderId="51" xfId="0" applyNumberFormat="1" applyFont="1" applyFill="1" applyBorder="1" applyAlignment="1" applyProtection="1">
      <alignment horizontal="center"/>
      <protection hidden="1"/>
    </xf>
    <xf numFmtId="0" fontId="50" fillId="0" borderId="52" xfId="0" applyFont="1" applyBorder="1" applyAlignment="1" applyProtection="1">
      <alignment/>
      <protection locked="0"/>
    </xf>
    <xf numFmtId="0" fontId="40" fillId="0" borderId="53" xfId="0" applyFont="1" applyBorder="1" applyAlignment="1" applyProtection="1">
      <alignment horizontal="center" vertical="center"/>
      <protection locked="0"/>
    </xf>
    <xf numFmtId="0" fontId="59" fillId="0" borderId="53" xfId="0" applyFont="1" applyBorder="1" applyAlignment="1" applyProtection="1">
      <alignment horizontal="right"/>
      <protection locked="0"/>
    </xf>
    <xf numFmtId="0" fontId="59" fillId="0" borderId="14" xfId="0" applyFont="1" applyBorder="1" applyAlignment="1" applyProtection="1">
      <alignment horizontal="right"/>
      <protection locked="0"/>
    </xf>
    <xf numFmtId="0" fontId="50" fillId="0" borderId="0" xfId="0" applyFont="1" applyAlignment="1" applyProtection="1">
      <alignment/>
      <protection locked="0"/>
    </xf>
    <xf numFmtId="0" fontId="59" fillId="0" borderId="17" xfId="0" applyFont="1" applyBorder="1" applyAlignment="1" applyProtection="1">
      <alignment horizontal="center"/>
      <protection locked="0"/>
    </xf>
    <xf numFmtId="0" fontId="49" fillId="0" borderId="54" xfId="0" applyFont="1" applyBorder="1" applyAlignment="1" applyProtection="1">
      <alignment horizontal="right"/>
      <protection locked="0"/>
    </xf>
    <xf numFmtId="0" fontId="50" fillId="0" borderId="0" xfId="0" applyFont="1" applyBorder="1" applyAlignment="1" applyProtection="1">
      <alignment/>
      <protection locked="0"/>
    </xf>
    <xf numFmtId="0" fontId="55" fillId="0" borderId="21" xfId="0" applyFont="1" applyBorder="1" applyAlignment="1" applyProtection="1">
      <alignment horizontal="center"/>
      <protection locked="0"/>
    </xf>
    <xf numFmtId="0" fontId="49" fillId="0" borderId="19" xfId="0" applyFont="1" applyBorder="1" applyAlignment="1" applyProtection="1">
      <alignment horizontal="center"/>
      <protection locked="0"/>
    </xf>
    <xf numFmtId="170" fontId="43" fillId="0" borderId="55" xfId="0" applyNumberFormat="1" applyFont="1" applyBorder="1" applyAlignment="1" applyProtection="1">
      <alignment horizontal="center"/>
      <protection locked="0"/>
    </xf>
    <xf numFmtId="170" fontId="43" fillId="0" borderId="56" xfId="0" applyNumberFormat="1" applyFont="1" applyBorder="1" applyAlignment="1" applyProtection="1">
      <alignment horizontal="center"/>
      <protection locked="0"/>
    </xf>
    <xf numFmtId="170" fontId="50" fillId="0" borderId="56" xfId="0" applyNumberFormat="1" applyFont="1" applyBorder="1" applyAlignment="1" applyProtection="1">
      <alignment/>
      <protection locked="0"/>
    </xf>
    <xf numFmtId="170" fontId="50" fillId="0" borderId="48" xfId="0" applyNumberFormat="1" applyFont="1" applyBorder="1" applyAlignment="1" applyProtection="1">
      <alignment/>
      <protection locked="0"/>
    </xf>
    <xf numFmtId="170" fontId="50" fillId="0" borderId="49" xfId="0" applyNumberFormat="1" applyFont="1" applyBorder="1" applyAlignment="1" applyProtection="1">
      <alignment/>
      <protection hidden="1"/>
    </xf>
    <xf numFmtId="195" fontId="39" fillId="40" borderId="39" xfId="0" applyNumberFormat="1" applyFont="1" applyFill="1" applyBorder="1" applyAlignment="1" applyProtection="1">
      <alignment horizontal="center"/>
      <protection locked="0"/>
    </xf>
    <xf numFmtId="0" fontId="36" fillId="0" borderId="10" xfId="0" applyFont="1" applyBorder="1" applyAlignment="1" applyProtection="1">
      <alignment horizontal="center"/>
      <protection locked="0"/>
    </xf>
    <xf numFmtId="0" fontId="49" fillId="0" borderId="57" xfId="0" applyFont="1" applyBorder="1" applyAlignment="1" applyProtection="1">
      <alignment horizontal="center" vertical="center"/>
      <protection locked="0"/>
    </xf>
    <xf numFmtId="0" fontId="49" fillId="0" borderId="58" xfId="0" applyFont="1" applyBorder="1" applyAlignment="1" applyProtection="1">
      <alignment horizontal="center" vertical="center"/>
      <protection locked="0"/>
    </xf>
    <xf numFmtId="0" fontId="49" fillId="0" borderId="59" xfId="0" applyFont="1" applyBorder="1" applyAlignment="1" applyProtection="1">
      <alignment horizontal="center" vertical="center"/>
      <protection locked="0"/>
    </xf>
    <xf numFmtId="0" fontId="55" fillId="0" borderId="22" xfId="0" applyFont="1" applyBorder="1" applyAlignment="1" applyProtection="1">
      <alignment horizontal="center"/>
      <protection locked="0"/>
    </xf>
    <xf numFmtId="0" fontId="56" fillId="0" borderId="28" xfId="0" applyFont="1" applyBorder="1" applyAlignment="1" applyProtection="1">
      <alignment horizontal="center" vertical="center" wrapText="1"/>
      <protection hidden="1"/>
    </xf>
    <xf numFmtId="0" fontId="50" fillId="0" borderId="60" xfId="0" applyFont="1" applyBorder="1" applyAlignment="1" applyProtection="1">
      <alignment horizontal="center" vertical="center" wrapText="1"/>
      <protection hidden="1"/>
    </xf>
    <xf numFmtId="0" fontId="57" fillId="0" borderId="43" xfId="0" applyFont="1" applyBorder="1" applyAlignment="1" applyProtection="1">
      <alignment horizontal="center"/>
      <protection hidden="1"/>
    </xf>
    <xf numFmtId="0" fontId="57" fillId="0" borderId="19" xfId="0" applyFont="1" applyBorder="1" applyAlignment="1" applyProtection="1">
      <alignment horizontal="center"/>
      <protection hidden="1"/>
    </xf>
    <xf numFmtId="0" fontId="96" fillId="0" borderId="61" xfId="0" applyFont="1" applyBorder="1" applyAlignment="1" applyProtection="1">
      <alignment horizontal="center"/>
      <protection locked="0"/>
    </xf>
    <xf numFmtId="0" fontId="96" fillId="0" borderId="54" xfId="0" applyFont="1" applyBorder="1" applyAlignment="1" applyProtection="1">
      <alignment horizontal="center"/>
      <protection locked="0"/>
    </xf>
    <xf numFmtId="0" fontId="44" fillId="41" borderId="12" xfId="0" applyFont="1" applyFill="1" applyBorder="1" applyAlignment="1" applyProtection="1">
      <alignment horizontal="center"/>
      <protection locked="0"/>
    </xf>
    <xf numFmtId="0" fontId="44" fillId="41" borderId="62" xfId="0" applyFont="1" applyFill="1" applyBorder="1" applyAlignment="1" applyProtection="1">
      <alignment horizontal="center"/>
      <protection locked="0"/>
    </xf>
    <xf numFmtId="0" fontId="39" fillId="0" borderId="63" xfId="0" applyFont="1" applyFill="1" applyBorder="1" applyAlignment="1" applyProtection="1">
      <alignment horizontal="center" vertical="center"/>
      <protection locked="0"/>
    </xf>
    <xf numFmtId="0" fontId="39" fillId="0" borderId="64" xfId="0" applyFont="1" applyFill="1" applyBorder="1" applyAlignment="1" applyProtection="1">
      <alignment horizontal="center" vertical="center"/>
      <protection locked="0"/>
    </xf>
    <xf numFmtId="0" fontId="39" fillId="0" borderId="65" xfId="0" applyFont="1" applyFill="1" applyBorder="1" applyAlignment="1" applyProtection="1">
      <alignment horizontal="center" vertical="center"/>
      <protection locked="0"/>
    </xf>
    <xf numFmtId="0" fontId="39" fillId="0" borderId="66" xfId="0" applyFont="1" applyFill="1" applyBorder="1" applyAlignment="1" applyProtection="1">
      <alignment horizontal="center" vertical="center"/>
      <protection locked="0"/>
    </xf>
    <xf numFmtId="0" fontId="39" fillId="0" borderId="67" xfId="0" applyFont="1" applyFill="1" applyBorder="1" applyAlignment="1" applyProtection="1">
      <alignment horizontal="center" vertical="center"/>
      <protection locked="0"/>
    </xf>
    <xf numFmtId="0" fontId="39" fillId="0" borderId="68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48" fillId="41" borderId="69" xfId="0" applyFont="1" applyFill="1" applyBorder="1" applyAlignment="1" applyProtection="1">
      <alignment horizontal="center"/>
      <protection locked="0"/>
    </xf>
    <xf numFmtId="0" fontId="48" fillId="41" borderId="17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44" fillId="41" borderId="70" xfId="0" applyFont="1" applyFill="1" applyBorder="1" applyAlignment="1" applyProtection="1">
      <alignment horizontal="center"/>
      <protection locked="0"/>
    </xf>
    <xf numFmtId="0" fontId="44" fillId="41" borderId="13" xfId="0" applyFont="1" applyFill="1" applyBorder="1" applyAlignment="1" applyProtection="1">
      <alignment horizontal="center"/>
      <protection locked="0"/>
    </xf>
    <xf numFmtId="0" fontId="47" fillId="42" borderId="69" xfId="0" applyFont="1" applyFill="1" applyBorder="1" applyAlignment="1" applyProtection="1">
      <alignment horizontal="center"/>
      <protection locked="0"/>
    </xf>
    <xf numFmtId="0" fontId="47" fillId="42" borderId="17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19050</xdr:rowOff>
    </xdr:from>
    <xdr:to>
      <xdr:col>0</xdr:col>
      <xdr:colOff>695325</xdr:colOff>
      <xdr:row>2</xdr:row>
      <xdr:rowOff>352425</xdr:rowOff>
    </xdr:to>
    <xdr:pic>
      <xdr:nvPicPr>
        <xdr:cNvPr id="1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1</xdr:row>
      <xdr:rowOff>19050</xdr:rowOff>
    </xdr:from>
    <xdr:to>
      <xdr:col>5</xdr:col>
      <xdr:colOff>752475</xdr:colOff>
      <xdr:row>4</xdr:row>
      <xdr:rowOff>219075</xdr:rowOff>
    </xdr:to>
    <xdr:sp>
      <xdr:nvSpPr>
        <xdr:cNvPr id="2" name="Text Box 84"/>
        <xdr:cNvSpPr txBox="1">
          <a:spLocks noChangeArrowheads="1"/>
        </xdr:cNvSpPr>
      </xdr:nvSpPr>
      <xdr:spPr>
        <a:xfrm>
          <a:off x="3152775" y="381000"/>
          <a:ext cx="1504950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Milton Polizelli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Agrimensor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CESP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miltonpolizelli@epnet.com.br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(18) 9771.4965 - Presidente Epitácio - SP</a:t>
          </a:r>
        </a:p>
      </xdr:txBody>
    </xdr:sp>
    <xdr:clientData/>
  </xdr:twoCellAnchor>
  <xdr:twoCellAnchor>
    <xdr:from>
      <xdr:col>4</xdr:col>
      <xdr:colOff>28575</xdr:colOff>
      <xdr:row>1</xdr:row>
      <xdr:rowOff>19050</xdr:rowOff>
    </xdr:from>
    <xdr:to>
      <xdr:col>5</xdr:col>
      <xdr:colOff>752475</xdr:colOff>
      <xdr:row>4</xdr:row>
      <xdr:rowOff>219075</xdr:rowOff>
    </xdr:to>
    <xdr:sp>
      <xdr:nvSpPr>
        <xdr:cNvPr id="3" name="Text Box 85"/>
        <xdr:cNvSpPr txBox="1">
          <a:spLocks noChangeArrowheads="1"/>
        </xdr:cNvSpPr>
      </xdr:nvSpPr>
      <xdr:spPr>
        <a:xfrm>
          <a:off x="3152775" y="381000"/>
          <a:ext cx="1504950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Milton Polizelli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Agrimensor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CESP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miltonpolizelli@epnet.com.br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(18) 9771.4965 - Presidente Epitácio - SP</a:t>
          </a:r>
        </a:p>
      </xdr:txBody>
    </xdr:sp>
    <xdr:clientData/>
  </xdr:twoCellAnchor>
  <xdr:twoCellAnchor>
    <xdr:from>
      <xdr:col>4</xdr:col>
      <xdr:colOff>28575</xdr:colOff>
      <xdr:row>1</xdr:row>
      <xdr:rowOff>19050</xdr:rowOff>
    </xdr:from>
    <xdr:to>
      <xdr:col>5</xdr:col>
      <xdr:colOff>752475</xdr:colOff>
      <xdr:row>4</xdr:row>
      <xdr:rowOff>219075</xdr:rowOff>
    </xdr:to>
    <xdr:sp>
      <xdr:nvSpPr>
        <xdr:cNvPr id="4" name="Text Box 86"/>
        <xdr:cNvSpPr txBox="1">
          <a:spLocks noChangeArrowheads="1"/>
        </xdr:cNvSpPr>
      </xdr:nvSpPr>
      <xdr:spPr>
        <a:xfrm>
          <a:off x="3152775" y="381000"/>
          <a:ext cx="1504950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Milton Polizelli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Agrimensor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CESP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miltonpolizelli@epnet.com.br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(18) 9771.4965 - Presidente Epitácio - SP</a:t>
          </a:r>
        </a:p>
      </xdr:txBody>
    </xdr:sp>
    <xdr:clientData/>
  </xdr:twoCellAnchor>
  <xdr:twoCellAnchor>
    <xdr:from>
      <xdr:col>4</xdr:col>
      <xdr:colOff>28575</xdr:colOff>
      <xdr:row>1</xdr:row>
      <xdr:rowOff>19050</xdr:rowOff>
    </xdr:from>
    <xdr:to>
      <xdr:col>5</xdr:col>
      <xdr:colOff>752475</xdr:colOff>
      <xdr:row>4</xdr:row>
      <xdr:rowOff>219075</xdr:rowOff>
    </xdr:to>
    <xdr:sp>
      <xdr:nvSpPr>
        <xdr:cNvPr id="5" name="Text Box 87"/>
        <xdr:cNvSpPr txBox="1">
          <a:spLocks noChangeArrowheads="1"/>
        </xdr:cNvSpPr>
      </xdr:nvSpPr>
      <xdr:spPr>
        <a:xfrm>
          <a:off x="3152775" y="381000"/>
          <a:ext cx="1504950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Milton Polizelli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Agrimensor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CESP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miltonpolizelli@epnet.com.br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(18) 9771.4965 - Presidente Epitácio - SP</a:t>
          </a:r>
        </a:p>
      </xdr:txBody>
    </xdr:sp>
    <xdr:clientData/>
  </xdr:twoCellAnchor>
  <xdr:twoCellAnchor>
    <xdr:from>
      <xdr:col>4</xdr:col>
      <xdr:colOff>28575</xdr:colOff>
      <xdr:row>1</xdr:row>
      <xdr:rowOff>19050</xdr:rowOff>
    </xdr:from>
    <xdr:to>
      <xdr:col>5</xdr:col>
      <xdr:colOff>752475</xdr:colOff>
      <xdr:row>4</xdr:row>
      <xdr:rowOff>219075</xdr:rowOff>
    </xdr:to>
    <xdr:sp>
      <xdr:nvSpPr>
        <xdr:cNvPr id="6" name="Text Box 92"/>
        <xdr:cNvSpPr txBox="1">
          <a:spLocks noChangeArrowheads="1"/>
        </xdr:cNvSpPr>
      </xdr:nvSpPr>
      <xdr:spPr>
        <a:xfrm>
          <a:off x="3152775" y="381000"/>
          <a:ext cx="1504950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Milton Polizelli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Agrimensor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CESP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miltonpolizelli@uol.com.br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(18) 9771-4965 - Presidente Epitácio - SP</a:t>
          </a:r>
        </a:p>
      </xdr:txBody>
    </xdr:sp>
    <xdr:clientData/>
  </xdr:twoCellAnchor>
  <xdr:twoCellAnchor>
    <xdr:from>
      <xdr:col>4</xdr:col>
      <xdr:colOff>28575</xdr:colOff>
      <xdr:row>1</xdr:row>
      <xdr:rowOff>19050</xdr:rowOff>
    </xdr:from>
    <xdr:to>
      <xdr:col>5</xdr:col>
      <xdr:colOff>752475</xdr:colOff>
      <xdr:row>4</xdr:row>
      <xdr:rowOff>219075</xdr:rowOff>
    </xdr:to>
    <xdr:sp>
      <xdr:nvSpPr>
        <xdr:cNvPr id="7" name="Text Box 93"/>
        <xdr:cNvSpPr txBox="1">
          <a:spLocks noChangeArrowheads="1"/>
        </xdr:cNvSpPr>
      </xdr:nvSpPr>
      <xdr:spPr>
        <a:xfrm>
          <a:off x="3152775" y="381000"/>
          <a:ext cx="1504950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Milton Polizelli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Agrimensor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CESP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miltonpolizelli@uol.com.br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(18) 9771-4965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Presidente Epitácio - SP</a:t>
          </a:r>
        </a:p>
      </xdr:txBody>
    </xdr:sp>
    <xdr:clientData/>
  </xdr:twoCellAnchor>
  <xdr:twoCellAnchor>
    <xdr:from>
      <xdr:col>4</xdr:col>
      <xdr:colOff>28575</xdr:colOff>
      <xdr:row>1</xdr:row>
      <xdr:rowOff>19050</xdr:rowOff>
    </xdr:from>
    <xdr:to>
      <xdr:col>5</xdr:col>
      <xdr:colOff>752475</xdr:colOff>
      <xdr:row>4</xdr:row>
      <xdr:rowOff>219075</xdr:rowOff>
    </xdr:to>
    <xdr:sp>
      <xdr:nvSpPr>
        <xdr:cNvPr id="8" name="Text Box 94"/>
        <xdr:cNvSpPr txBox="1">
          <a:spLocks noChangeArrowheads="1"/>
        </xdr:cNvSpPr>
      </xdr:nvSpPr>
      <xdr:spPr>
        <a:xfrm>
          <a:off x="3152775" y="381000"/>
          <a:ext cx="1504950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Milton Polizelli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Agrimensor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CESP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miltonpolizelli@uol.com.br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(18) 9771-4965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Presidente Epitácio - SP</a:t>
          </a:r>
        </a:p>
      </xdr:txBody>
    </xdr:sp>
    <xdr:clientData/>
  </xdr:twoCellAnchor>
  <xdr:twoCellAnchor>
    <xdr:from>
      <xdr:col>4</xdr:col>
      <xdr:colOff>28575</xdr:colOff>
      <xdr:row>1</xdr:row>
      <xdr:rowOff>19050</xdr:rowOff>
    </xdr:from>
    <xdr:to>
      <xdr:col>5</xdr:col>
      <xdr:colOff>752475</xdr:colOff>
      <xdr:row>4</xdr:row>
      <xdr:rowOff>219075</xdr:rowOff>
    </xdr:to>
    <xdr:sp>
      <xdr:nvSpPr>
        <xdr:cNvPr id="9" name="Text Box 95"/>
        <xdr:cNvSpPr txBox="1">
          <a:spLocks noChangeArrowheads="1"/>
        </xdr:cNvSpPr>
      </xdr:nvSpPr>
      <xdr:spPr>
        <a:xfrm>
          <a:off x="3152775" y="381000"/>
          <a:ext cx="1504950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Milton Polizelli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Agrimensor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CESP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miltonpolizelli@uol.com.br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(18) 9771-4965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Presidente Epitácio - SP</a:t>
          </a:r>
        </a:p>
      </xdr:txBody>
    </xdr:sp>
    <xdr:clientData/>
  </xdr:twoCellAnchor>
  <xdr:twoCellAnchor>
    <xdr:from>
      <xdr:col>4</xdr:col>
      <xdr:colOff>28575</xdr:colOff>
      <xdr:row>1</xdr:row>
      <xdr:rowOff>19050</xdr:rowOff>
    </xdr:from>
    <xdr:to>
      <xdr:col>5</xdr:col>
      <xdr:colOff>752475</xdr:colOff>
      <xdr:row>4</xdr:row>
      <xdr:rowOff>219075</xdr:rowOff>
    </xdr:to>
    <xdr:sp>
      <xdr:nvSpPr>
        <xdr:cNvPr id="10" name="Text Box 96"/>
        <xdr:cNvSpPr txBox="1">
          <a:spLocks noChangeArrowheads="1"/>
        </xdr:cNvSpPr>
      </xdr:nvSpPr>
      <xdr:spPr>
        <a:xfrm>
          <a:off x="3152775" y="381000"/>
          <a:ext cx="1504950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Milton Polizelli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Agrimensor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CESP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miltonpolizelli@uol.com.br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(18) 9771-4965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Presidente Epitácio - SP</a:t>
          </a:r>
        </a:p>
      </xdr:txBody>
    </xdr:sp>
    <xdr:clientData/>
  </xdr:twoCellAnchor>
  <xdr:twoCellAnchor>
    <xdr:from>
      <xdr:col>4</xdr:col>
      <xdr:colOff>28575</xdr:colOff>
      <xdr:row>1</xdr:row>
      <xdr:rowOff>19050</xdr:rowOff>
    </xdr:from>
    <xdr:to>
      <xdr:col>5</xdr:col>
      <xdr:colOff>752475</xdr:colOff>
      <xdr:row>4</xdr:row>
      <xdr:rowOff>219075</xdr:rowOff>
    </xdr:to>
    <xdr:sp>
      <xdr:nvSpPr>
        <xdr:cNvPr id="11" name="Text Box 97"/>
        <xdr:cNvSpPr txBox="1">
          <a:spLocks noChangeArrowheads="1"/>
        </xdr:cNvSpPr>
      </xdr:nvSpPr>
      <xdr:spPr>
        <a:xfrm>
          <a:off x="3152775" y="381000"/>
          <a:ext cx="1504950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Milton Polizelli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Agrimensor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CESP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miltonpolizelli@uol.com.br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(18) 9771-4965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Presidente Epitácio - SP</a:t>
          </a:r>
        </a:p>
      </xdr:txBody>
    </xdr:sp>
    <xdr:clientData/>
  </xdr:twoCellAnchor>
  <xdr:twoCellAnchor>
    <xdr:from>
      <xdr:col>4</xdr:col>
      <xdr:colOff>28575</xdr:colOff>
      <xdr:row>1</xdr:row>
      <xdr:rowOff>19050</xdr:rowOff>
    </xdr:from>
    <xdr:to>
      <xdr:col>5</xdr:col>
      <xdr:colOff>752475</xdr:colOff>
      <xdr:row>4</xdr:row>
      <xdr:rowOff>219075</xdr:rowOff>
    </xdr:to>
    <xdr:sp>
      <xdr:nvSpPr>
        <xdr:cNvPr id="12" name="Text Box 98"/>
        <xdr:cNvSpPr txBox="1">
          <a:spLocks noChangeArrowheads="1"/>
        </xdr:cNvSpPr>
      </xdr:nvSpPr>
      <xdr:spPr>
        <a:xfrm>
          <a:off x="3152775" y="381000"/>
          <a:ext cx="1504950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Milton Polizelli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Agrimensor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CESP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miltonpolizelli@uol.com.br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(18) 9771-4965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Presidente Epitácio - SP</a:t>
          </a:r>
        </a:p>
      </xdr:txBody>
    </xdr:sp>
    <xdr:clientData/>
  </xdr:twoCellAnchor>
  <xdr:twoCellAnchor>
    <xdr:from>
      <xdr:col>4</xdr:col>
      <xdr:colOff>28575</xdr:colOff>
      <xdr:row>1</xdr:row>
      <xdr:rowOff>19050</xdr:rowOff>
    </xdr:from>
    <xdr:to>
      <xdr:col>5</xdr:col>
      <xdr:colOff>752475</xdr:colOff>
      <xdr:row>4</xdr:row>
      <xdr:rowOff>219075</xdr:rowOff>
    </xdr:to>
    <xdr:sp>
      <xdr:nvSpPr>
        <xdr:cNvPr id="13" name="Text Box 99"/>
        <xdr:cNvSpPr txBox="1">
          <a:spLocks noChangeArrowheads="1"/>
        </xdr:cNvSpPr>
      </xdr:nvSpPr>
      <xdr:spPr>
        <a:xfrm>
          <a:off x="3152775" y="381000"/>
          <a:ext cx="1504950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Milton Polizelli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Agrimensor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CESP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miltonpolizelli@uol.com.br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(18) 9771-4965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Presidente Epitácio - SP</a:t>
          </a:r>
        </a:p>
      </xdr:txBody>
    </xdr:sp>
    <xdr:clientData/>
  </xdr:twoCellAnchor>
  <xdr:twoCellAnchor>
    <xdr:from>
      <xdr:col>4</xdr:col>
      <xdr:colOff>28575</xdr:colOff>
      <xdr:row>1</xdr:row>
      <xdr:rowOff>19050</xdr:rowOff>
    </xdr:from>
    <xdr:to>
      <xdr:col>5</xdr:col>
      <xdr:colOff>752475</xdr:colOff>
      <xdr:row>4</xdr:row>
      <xdr:rowOff>219075</xdr:rowOff>
    </xdr:to>
    <xdr:sp>
      <xdr:nvSpPr>
        <xdr:cNvPr id="14" name="CaixaDeTexto 14"/>
        <xdr:cNvSpPr txBox="1">
          <a:spLocks noChangeArrowheads="1"/>
        </xdr:cNvSpPr>
      </xdr:nvSpPr>
      <xdr:spPr>
        <a:xfrm>
          <a:off x="3152775" y="381000"/>
          <a:ext cx="1504950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Milton Polizelli
Agrimensor
CESP
miltonpolizelli@uol.com.br
(18) 9771-4965
Presidente Epitácio - SP</a:t>
          </a:r>
        </a:p>
      </xdr:txBody>
    </xdr:sp>
    <xdr:clientData/>
  </xdr:twoCellAnchor>
  <xdr:twoCellAnchor>
    <xdr:from>
      <xdr:col>4</xdr:col>
      <xdr:colOff>28575</xdr:colOff>
      <xdr:row>1</xdr:row>
      <xdr:rowOff>19050</xdr:rowOff>
    </xdr:from>
    <xdr:to>
      <xdr:col>5</xdr:col>
      <xdr:colOff>752475</xdr:colOff>
      <xdr:row>4</xdr:row>
      <xdr:rowOff>219075</xdr:rowOff>
    </xdr:to>
    <xdr:sp>
      <xdr:nvSpPr>
        <xdr:cNvPr id="15" name="CaixaDeTexto 15"/>
        <xdr:cNvSpPr txBox="1">
          <a:spLocks noChangeArrowheads="1"/>
        </xdr:cNvSpPr>
      </xdr:nvSpPr>
      <xdr:spPr>
        <a:xfrm>
          <a:off x="3152775" y="381000"/>
          <a:ext cx="1504950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Milton Polizelli
Agrimensor
CESP
miltonpolizelli@uol.com.br
(18) 9771-4965
Presidente Epitácio - SP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Q181"/>
  <sheetViews>
    <sheetView showGridLines="0" tabSelected="1" zoomScalePageLayoutView="0" workbookViewId="0" topLeftCell="A1">
      <selection activeCell="F17" sqref="F17:H17"/>
    </sheetView>
  </sheetViews>
  <sheetFormatPr defaultColWidth="9.140625" defaultRowHeight="12.75"/>
  <cols>
    <col min="1" max="8" width="11.7109375" style="2" customWidth="1"/>
    <col min="9" max="9" width="12.57421875" style="2" hidden="1" customWidth="1"/>
    <col min="10" max="11" width="10.140625" style="2" hidden="1" customWidth="1"/>
    <col min="12" max="12" width="12.57421875" style="2" hidden="1" customWidth="1"/>
    <col min="13" max="13" width="12.140625" style="2" hidden="1" customWidth="1"/>
    <col min="14" max="14" width="13.00390625" style="2" hidden="1" customWidth="1"/>
    <col min="15" max="15" width="17.00390625" style="2" hidden="1" customWidth="1"/>
    <col min="16" max="16" width="16.57421875" style="2" hidden="1" customWidth="1"/>
    <col min="17" max="17" width="14.28125" style="2" hidden="1" customWidth="1"/>
    <col min="18" max="18" width="16.28125" style="2" hidden="1" customWidth="1"/>
    <col min="19" max="19" width="17.00390625" style="2" hidden="1" customWidth="1"/>
    <col min="20" max="20" width="15.00390625" style="2" hidden="1" customWidth="1"/>
    <col min="21" max="21" width="13.7109375" style="2" hidden="1" customWidth="1"/>
    <col min="22" max="22" width="17.00390625" style="2" hidden="1" customWidth="1"/>
    <col min="23" max="23" width="13.8515625" style="2" hidden="1" customWidth="1"/>
    <col min="24" max="26" width="15.140625" style="2" hidden="1" customWidth="1"/>
    <col min="27" max="27" width="10.421875" style="2" hidden="1" customWidth="1"/>
    <col min="28" max="28" width="16.00390625" style="2" hidden="1" customWidth="1"/>
    <col min="29" max="29" width="15.8515625" style="2" hidden="1" customWidth="1"/>
    <col min="30" max="32" width="13.421875" style="2" hidden="1" customWidth="1"/>
    <col min="33" max="33" width="10.421875" style="2" hidden="1" customWidth="1"/>
    <col min="34" max="34" width="13.57421875" style="2" hidden="1" customWidth="1"/>
    <col min="35" max="35" width="7.421875" style="2" hidden="1" customWidth="1"/>
    <col min="36" max="37" width="11.28125" style="2" hidden="1" customWidth="1"/>
    <col min="38" max="38" width="12.57421875" style="2" hidden="1" customWidth="1"/>
    <col min="39" max="39" width="10.421875" style="2" hidden="1" customWidth="1"/>
    <col min="40" max="40" width="11.8515625" style="2" hidden="1" customWidth="1"/>
    <col min="41" max="41" width="7.421875" style="2" hidden="1" customWidth="1"/>
    <col min="42" max="42" width="5.7109375" style="1" hidden="1" customWidth="1"/>
    <col min="43" max="43" width="0" style="2" hidden="1" customWidth="1"/>
    <col min="44" max="16384" width="9.140625" style="2" customWidth="1"/>
  </cols>
  <sheetData>
    <row r="1" spans="1:41" ht="28.5" customHeight="1" thickBot="1">
      <c r="A1" s="231" t="s">
        <v>75</v>
      </c>
      <c r="B1" s="231"/>
      <c r="C1" s="231"/>
      <c r="D1" s="231"/>
      <c r="E1" s="231"/>
      <c r="F1" s="231"/>
      <c r="G1" s="231"/>
      <c r="H1" s="231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70"/>
      <c r="AN1" s="170"/>
      <c r="AO1" s="169"/>
    </row>
    <row r="2" spans="1:43" ht="24" customHeight="1" thickTop="1">
      <c r="A2" s="215"/>
      <c r="B2" s="242" t="s">
        <v>0</v>
      </c>
      <c r="C2" s="242"/>
      <c r="D2" s="243"/>
      <c r="E2" s="244"/>
      <c r="F2" s="245"/>
      <c r="G2" s="255" t="s">
        <v>1</v>
      </c>
      <c r="H2" s="256"/>
      <c r="I2" s="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6"/>
      <c r="AM2" s="253"/>
      <c r="AN2" s="253"/>
      <c r="AO2" s="3"/>
      <c r="AQ2" s="1"/>
    </row>
    <row r="3" spans="1:43" s="14" customFormat="1" ht="29.25" customHeight="1">
      <c r="A3" s="216"/>
      <c r="B3" s="172"/>
      <c r="C3" s="172"/>
      <c r="D3" s="173"/>
      <c r="E3" s="246"/>
      <c r="F3" s="247"/>
      <c r="G3" s="174"/>
      <c r="H3" s="175"/>
      <c r="I3" s="7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9"/>
      <c r="AM3" s="10"/>
      <c r="AN3" s="10"/>
      <c r="AO3" s="11"/>
      <c r="AP3" s="12"/>
      <c r="AQ3" s="13"/>
    </row>
    <row r="4" spans="1:43" s="20" customFormat="1" ht="19.5" customHeight="1">
      <c r="A4" s="217" t="s">
        <v>2</v>
      </c>
      <c r="B4" s="176">
        <v>6378388</v>
      </c>
      <c r="C4" s="176"/>
      <c r="D4" s="177"/>
      <c r="E4" s="246"/>
      <c r="F4" s="247"/>
      <c r="G4" s="257" t="s">
        <v>3</v>
      </c>
      <c r="H4" s="258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6"/>
      <c r="AM4" s="254"/>
      <c r="AN4" s="254"/>
      <c r="AO4" s="17"/>
      <c r="AP4" s="18"/>
      <c r="AQ4" s="19"/>
    </row>
    <row r="5" spans="1:43" s="20" customFormat="1" ht="19.5" customHeight="1" thickBot="1">
      <c r="A5" s="218" t="s">
        <v>4</v>
      </c>
      <c r="B5" s="176">
        <v>6356911.9462</v>
      </c>
      <c r="C5" s="176"/>
      <c r="D5" s="177"/>
      <c r="E5" s="248"/>
      <c r="F5" s="249"/>
      <c r="G5" s="251" t="s">
        <v>93</v>
      </c>
      <c r="H5" s="252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6"/>
      <c r="AM5" s="250"/>
      <c r="AN5" s="250"/>
      <c r="AO5" s="17"/>
      <c r="AP5" s="18"/>
      <c r="AQ5" s="19"/>
    </row>
    <row r="6" spans="1:43" s="20" customFormat="1" ht="12.75" customHeight="1" hidden="1">
      <c r="A6" s="219"/>
      <c r="B6" s="178">
        <f>IF(B4="",IF(C4="",D4,C4),B4)</f>
        <v>6378388</v>
      </c>
      <c r="C6" s="179"/>
      <c r="D6" s="179"/>
      <c r="E6" s="179"/>
      <c r="F6" s="180"/>
      <c r="G6" s="180"/>
      <c r="H6" s="180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1"/>
      <c r="AN6" s="21"/>
      <c r="AP6" s="18"/>
      <c r="AQ6" s="19"/>
    </row>
    <row r="7" spans="1:43" s="20" customFormat="1" ht="12.75" customHeight="1" hidden="1">
      <c r="A7" s="219"/>
      <c r="B7" s="178">
        <f>IF(B5="",IF(C5="",D5,C5),B5)</f>
        <v>6356911.9462</v>
      </c>
      <c r="C7" s="179"/>
      <c r="D7" s="179"/>
      <c r="E7" s="179"/>
      <c r="F7" s="180"/>
      <c r="G7" s="180"/>
      <c r="H7" s="180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1"/>
      <c r="AN7" s="21"/>
      <c r="AP7" s="18"/>
      <c r="AQ7" s="19"/>
    </row>
    <row r="8" spans="1:43" s="20" customFormat="1" ht="12.75" customHeight="1" hidden="1">
      <c r="A8" s="219"/>
      <c r="B8" s="179"/>
      <c r="C8" s="179"/>
      <c r="D8" s="179"/>
      <c r="E8" s="179"/>
      <c r="F8" s="180"/>
      <c r="G8" s="180"/>
      <c r="H8" s="180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1"/>
      <c r="AN8" s="21"/>
      <c r="AP8" s="18"/>
      <c r="AQ8" s="19"/>
    </row>
    <row r="9" spans="1:41" ht="6" customHeight="1" thickBot="1" thickTop="1">
      <c r="A9" s="184"/>
      <c r="B9" s="181"/>
      <c r="C9" s="181"/>
      <c r="D9" s="181"/>
      <c r="E9" s="182"/>
      <c r="F9" s="182"/>
      <c r="G9" s="183"/>
      <c r="H9" s="184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23"/>
      <c r="AI9" s="23"/>
      <c r="AJ9" s="23"/>
      <c r="AK9" s="23"/>
      <c r="AL9" s="1"/>
      <c r="AM9" s="1"/>
      <c r="AN9" s="1"/>
      <c r="AO9" s="1"/>
    </row>
    <row r="10" spans="1:43" ht="21" customHeight="1" thickTop="1">
      <c r="A10" s="184"/>
      <c r="B10" s="232" t="s">
        <v>76</v>
      </c>
      <c r="C10" s="233"/>
      <c r="D10" s="233"/>
      <c r="E10" s="233"/>
      <c r="F10" s="233"/>
      <c r="G10" s="234"/>
      <c r="H10" s="185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24"/>
      <c r="AP10" s="24"/>
      <c r="AQ10" s="25"/>
    </row>
    <row r="11" spans="1:41" ht="21" customHeight="1">
      <c r="A11" s="220"/>
      <c r="B11" s="186" t="s">
        <v>5</v>
      </c>
      <c r="C11" s="187" t="s">
        <v>6</v>
      </c>
      <c r="D11" s="188" t="s">
        <v>7</v>
      </c>
      <c r="E11" s="188" t="s">
        <v>8</v>
      </c>
      <c r="F11" s="188" t="s">
        <v>9</v>
      </c>
      <c r="G11" s="189" t="s">
        <v>74</v>
      </c>
      <c r="H11" s="190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 t="s">
        <v>7</v>
      </c>
      <c r="AI11" s="166"/>
      <c r="AJ11" s="166"/>
      <c r="AK11" s="166"/>
      <c r="AL11" s="166" t="s">
        <v>8</v>
      </c>
      <c r="AM11" s="166" t="s">
        <v>9</v>
      </c>
      <c r="AN11" s="166" t="s">
        <v>10</v>
      </c>
      <c r="AO11" s="1"/>
    </row>
    <row r="12" spans="1:41" ht="21" customHeight="1" thickBot="1">
      <c r="A12" s="184"/>
      <c r="B12" s="191" t="s">
        <v>91</v>
      </c>
      <c r="C12" s="192" t="s">
        <v>77</v>
      </c>
      <c r="D12" s="193">
        <v>7700968.241</v>
      </c>
      <c r="E12" s="193">
        <v>434110.061</v>
      </c>
      <c r="F12" s="230">
        <v>263.291</v>
      </c>
      <c r="G12" s="194" t="s">
        <v>78</v>
      </c>
      <c r="H12" s="190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77">
        <f>D12</f>
        <v>7700968.241</v>
      </c>
      <c r="AI12" s="77"/>
      <c r="AJ12" s="77"/>
      <c r="AK12" s="77"/>
      <c r="AL12" s="77">
        <f>E12</f>
        <v>434110.061</v>
      </c>
      <c r="AM12" s="168">
        <f>F12</f>
        <v>263.291</v>
      </c>
      <c r="AN12" s="165"/>
      <c r="AO12" s="1"/>
    </row>
    <row r="13" spans="1:41" ht="6" customHeight="1" thickTop="1">
      <c r="A13" s="184"/>
      <c r="B13" s="195"/>
      <c r="C13" s="195"/>
      <c r="D13" s="195"/>
      <c r="E13" s="195"/>
      <c r="F13" s="195"/>
      <c r="G13" s="195"/>
      <c r="H13" s="19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6"/>
      <c r="AI13" s="26"/>
      <c r="AJ13" s="26"/>
      <c r="AK13" s="26"/>
      <c r="AL13" s="26"/>
      <c r="AM13" s="27"/>
      <c r="AN13" s="28"/>
      <c r="AO13" s="1"/>
    </row>
    <row r="14" spans="1:41" ht="27.75" customHeight="1">
      <c r="A14" s="221" t="s">
        <v>11</v>
      </c>
      <c r="B14" s="240" t="s">
        <v>79</v>
      </c>
      <c r="C14" s="241"/>
      <c r="D14" s="241"/>
      <c r="E14" s="241"/>
      <c r="F14" s="241"/>
      <c r="G14" s="241"/>
      <c r="H14" s="241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30"/>
      <c r="AM14" s="29"/>
      <c r="AN14" s="31"/>
      <c r="AO14" s="32"/>
    </row>
    <row r="15" spans="1:41" ht="1.5" customHeight="1">
      <c r="A15" s="222"/>
      <c r="B15" s="197"/>
      <c r="C15" s="197"/>
      <c r="D15" s="197"/>
      <c r="E15" s="197"/>
      <c r="F15" s="197"/>
      <c r="G15" s="197"/>
      <c r="H15" s="197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1"/>
    </row>
    <row r="16" spans="1:41" ht="21" customHeight="1">
      <c r="A16" s="223"/>
      <c r="B16" s="235" t="s">
        <v>12</v>
      </c>
      <c r="C16" s="235"/>
      <c r="D16" s="235"/>
      <c r="E16" s="236" t="s">
        <v>92</v>
      </c>
      <c r="F16" s="238" t="s">
        <v>13</v>
      </c>
      <c r="G16" s="239"/>
      <c r="H16" s="239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H16" s="34"/>
      <c r="AI16" s="34"/>
      <c r="AJ16" s="2">
        <v>2</v>
      </c>
      <c r="AK16" s="2">
        <v>2</v>
      </c>
      <c r="AL16" s="35" t="s">
        <v>14</v>
      </c>
      <c r="AM16" s="36" t="s">
        <v>15</v>
      </c>
      <c r="AN16" s="37"/>
      <c r="AO16" s="38"/>
    </row>
    <row r="17" spans="1:43" s="53" customFormat="1" ht="21" customHeight="1">
      <c r="A17" s="224" t="s">
        <v>16</v>
      </c>
      <c r="B17" s="198" t="s">
        <v>7</v>
      </c>
      <c r="C17" s="198" t="s">
        <v>8</v>
      </c>
      <c r="D17" s="199" t="s">
        <v>9</v>
      </c>
      <c r="E17" s="237"/>
      <c r="F17" s="200" t="s">
        <v>17</v>
      </c>
      <c r="G17" s="201" t="s">
        <v>18</v>
      </c>
      <c r="H17" s="201" t="s">
        <v>19</v>
      </c>
      <c r="I17" s="39" t="s">
        <v>20</v>
      </c>
      <c r="J17" s="40"/>
      <c r="K17" s="41" t="s">
        <v>21</v>
      </c>
      <c r="L17" s="41" t="s">
        <v>22</v>
      </c>
      <c r="M17" s="41" t="s">
        <v>23</v>
      </c>
      <c r="N17" s="42" t="s">
        <v>24</v>
      </c>
      <c r="O17" s="43" t="s">
        <v>25</v>
      </c>
      <c r="P17" s="43" t="s">
        <v>26</v>
      </c>
      <c r="Q17" s="43" t="s">
        <v>27</v>
      </c>
      <c r="R17" s="43" t="s">
        <v>28</v>
      </c>
      <c r="S17" s="44" t="s">
        <v>28</v>
      </c>
      <c r="T17" s="44" t="s">
        <v>29</v>
      </c>
      <c r="U17" s="44" t="s">
        <v>30</v>
      </c>
      <c r="V17" s="45" t="s">
        <v>31</v>
      </c>
      <c r="W17" s="46" t="s">
        <v>32</v>
      </c>
      <c r="X17" s="44" t="s">
        <v>32</v>
      </c>
      <c r="Y17" s="44" t="s">
        <v>21</v>
      </c>
      <c r="Z17" s="44" t="s">
        <v>33</v>
      </c>
      <c r="AA17" s="47" t="s">
        <v>8</v>
      </c>
      <c r="AB17" s="44" t="s">
        <v>34</v>
      </c>
      <c r="AC17" s="44" t="s">
        <v>35</v>
      </c>
      <c r="AD17" s="44" t="s">
        <v>36</v>
      </c>
      <c r="AE17" s="43" t="s">
        <v>37</v>
      </c>
      <c r="AF17" s="41" t="s">
        <v>38</v>
      </c>
      <c r="AG17" s="41" t="s">
        <v>39</v>
      </c>
      <c r="AH17" s="48" t="s">
        <v>9</v>
      </c>
      <c r="AI17" s="49" t="s">
        <v>40</v>
      </c>
      <c r="AJ17" s="49" t="s">
        <v>41</v>
      </c>
      <c r="AK17" s="49" t="s">
        <v>42</v>
      </c>
      <c r="AL17" s="50" t="s">
        <v>43</v>
      </c>
      <c r="AM17" s="51" t="s">
        <v>17</v>
      </c>
      <c r="AN17" s="51" t="s">
        <v>18</v>
      </c>
      <c r="AO17" s="52" t="s">
        <v>19</v>
      </c>
      <c r="AP17" s="40"/>
      <c r="AQ17" s="40"/>
    </row>
    <row r="18" spans="1:43" ht="18" customHeight="1">
      <c r="A18" s="225" t="s">
        <v>80</v>
      </c>
      <c r="B18" s="202">
        <v>7701012.818</v>
      </c>
      <c r="C18" s="202">
        <v>433969.977</v>
      </c>
      <c r="D18" s="203">
        <v>263.06</v>
      </c>
      <c r="E18" s="204">
        <f>AL18</f>
        <v>146.9486022382272</v>
      </c>
      <c r="F18" s="205">
        <f>AM18</f>
        <v>433970.0312802391</v>
      </c>
      <c r="G18" s="206">
        <f>AN18</f>
        <v>7701012.800727148</v>
      </c>
      <c r="H18" s="207">
        <f>AO18</f>
        <v>263.06</v>
      </c>
      <c r="I18" s="54">
        <f>IF(B18=0," ",(10000000-(D12+B18)/2))</f>
        <v>2299009.4705</v>
      </c>
      <c r="J18" s="55">
        <f>IF(B18=0," ",((500000-(AL12+AA18)/2)*0.000001))</f>
        <v>0.06595998100000003</v>
      </c>
      <c r="K18" s="56">
        <f aca="true" t="shared" si="0" ref="K18:K42">IF(B18=0," ",(POWER(J18,2)))</f>
        <v>0.0043507190935203645</v>
      </c>
      <c r="L18" s="55">
        <f>IF(B18=0," ",(ABS(-1*((SIN(2*AG18*PI()/180)*L49))+((SIN(4*AG18*PI()/180)*L50))+(((SIN(6*AG18*PI()/180)*AH46))*-1))))</f>
        <v>10629.19388907203</v>
      </c>
      <c r="M18" s="57">
        <f>IF(B18=0," ",(ABS(-1*((SIN(2*AF18*PI()/180)*L49))+((SIN(4*AF18*PI()/180)*L50))+(((SIN(6*AF18*PI()/180)*AH46))*-1))))</f>
        <v>10672.953962282687</v>
      </c>
      <c r="N18" s="58">
        <f>IF(B18=0," ",(ABS(-1*((SIN(2*AE18*PI()/180)*L49))+((SIN(4*AE18*PI()/180)*L50))+(((SIN(6*AE18*PI()/180)*AH46))*-1))))</f>
        <v>10673.119504831675</v>
      </c>
      <c r="O18" s="59">
        <f>IF(B18=0," ",(POWER(L51/(SQRT(ABS(POWER(SIN(AD18*PI()/180),2)*AH47-1))),2)))</f>
        <v>40718322226520.41</v>
      </c>
      <c r="P18" s="60">
        <f>IF(B18=0," ",(-1*(1/(O18*2*(SIN(0.0001/0.36)*PI()/180)/TAN(AD18*PI()/180))*(POWER(COS(AD18*PI()/180),2)*AH48+1)*(1/(0.99920016)*1000000000000*K18))))</f>
        <v>-4.212022323737155</v>
      </c>
      <c r="Q18" s="61">
        <f>IF(B18=0," ",(POWER(TAN(AD18*PI()/180),2)*3+5)+(AH48*6)*(POWER(COS(AD18*PI()/180),2))-(AH48*6)*(POWER(SIN(AD18*PI()/180),2)))</f>
        <v>5.46284217191833</v>
      </c>
      <c r="R18" s="62">
        <f>IF(B18=0," ",(Q18-(3*(POWER(AH48,2))*(POWER(POWER(COS(AD18*PI()/180),2),2)))-((POWER(AH48,2))*9)*(POWER(COS(AD18*PI()/180),2))*(POWER(SIN(AD18*PI()/180),2)))*1.001601601809*1E+24)</f>
        <v>5.471440853115295E+24</v>
      </c>
      <c r="S18" s="63">
        <f>IF(B18=0," ",(((POWER(COS((TAN(AD18*PI()/180)/(POWER(O18,2)*(24*L56))*POWER(K18,2)+P18/3600+AD18)*PI()/180),2))*AH48+1)/(O18*2)*(1/0.99920016)*1000000000000))</f>
        <v>0.012362011517036604</v>
      </c>
      <c r="T18" s="64">
        <f>IF(B18=0," ",((B18-AH12)))</f>
        <v>44.57699999958277</v>
      </c>
      <c r="U18" s="65">
        <f>IF(B18=0," ",((AA18-AL12)))</f>
        <v>-140.08399999997346</v>
      </c>
      <c r="V18" s="66">
        <f>IF(B18=0," ",(SQRT(POWER(AL12-AA18,2)+POWER(AH12-B18,2))))</f>
        <v>147.0055644693607</v>
      </c>
      <c r="W18" s="67">
        <f>IF(B18=0," ",((ATAN((AL12-AA18)/(AH12-B18)))*180/PI()))</f>
        <v>-72.34808628262606</v>
      </c>
      <c r="X18" s="68">
        <f aca="true" t="shared" si="1" ref="X18:X42">IF(B18=0," ",((IF(T18&lt;0,IF(U18&lt;0,W18+180,W18+180),IF(U18&lt;0,W18+360,W18)))))</f>
        <v>287.65191371737393</v>
      </c>
      <c r="Y18" s="69">
        <f>IF(B18=0," ",((((AA18-500000)*(0.000001)*S51)+(POWER(S51,2))+(POWER((AA18-500000)*0.000001,2)))/3))</f>
        <v>0.004350720728814281</v>
      </c>
      <c r="Z18" s="69">
        <f aca="true" t="shared" si="2" ref="Z18:Z42">IF(B18=0," ",(POWER(Y18,2)*0.00003)+((S18*Y18)+1)*0.9996)</f>
        <v>0.9996537627141562</v>
      </c>
      <c r="AA18" s="70">
        <f aca="true" t="shared" si="3" ref="AA18:AA42">IF(B18=0," ",(C18))</f>
        <v>433969.977</v>
      </c>
      <c r="AB18" s="68">
        <f aca="true" t="shared" si="4" ref="AB18:AB42">IF(B18=0," ",(COS(X18*PI()/180)*AL18))</f>
        <v>44.55972714745374</v>
      </c>
      <c r="AC18" s="68">
        <f aca="true" t="shared" si="5" ref="AC18:AC42">IF(B18=0," ",(SIN(X18*PI()/180)*AL18))</f>
        <v>-140.0297197608893</v>
      </c>
      <c r="AD18" s="71">
        <f>IF(B18=0," ",((I18/0.9996+N18)/L48))</f>
        <v>20.79066553002717</v>
      </c>
      <c r="AE18" s="72">
        <f>IF(B18=0," ",(((I18/0.9996+M18)/L48)))</f>
        <v>20.79066404048508</v>
      </c>
      <c r="AF18" s="72">
        <f>IF(B18=0," ",(((I18/0.9996+L18)/L48)))</f>
        <v>20.79027028992809</v>
      </c>
      <c r="AG18" s="73">
        <f>IF(B18=0," ",(I18/L48))</f>
        <v>20.686351578643027</v>
      </c>
      <c r="AH18" s="74">
        <f aca="true" t="shared" si="6" ref="AH18:AH42">IF(B18=0," ",(D18))</f>
        <v>263.06</v>
      </c>
      <c r="AI18" s="70">
        <f>IF(B18=0," ",(AM12+AH18)/2)</f>
        <v>263.1755</v>
      </c>
      <c r="AJ18" s="75">
        <f>IF(B18=0,"",(V18-(AI18/B6)*V18)*Z18)</f>
        <v>146.9486022382272</v>
      </c>
      <c r="AK18" s="76">
        <f>IF(B18=0,"",((V18/Z18)*B6)/(B6-AI18))</f>
        <v>147.06254878097494</v>
      </c>
      <c r="AL18" s="77">
        <f>IF(AJ16=0,AK18,AJ18)</f>
        <v>146.9486022382272</v>
      </c>
      <c r="AM18" s="78">
        <f>IF(B18=0," ",(AL12+AC18))</f>
        <v>433970.0312802391</v>
      </c>
      <c r="AN18" s="78">
        <f>IF(B18=0," ",(AH12+AB18))</f>
        <v>7701012.800727148</v>
      </c>
      <c r="AO18" s="79">
        <f>IF(AH18=0," ",AH18)</f>
        <v>263.06</v>
      </c>
      <c r="AQ18" s="1"/>
    </row>
    <row r="19" spans="1:43" ht="18" customHeight="1">
      <c r="A19" s="226" t="s">
        <v>81</v>
      </c>
      <c r="B19" s="208">
        <v>7701006.165</v>
      </c>
      <c r="C19" s="208">
        <v>434024.915</v>
      </c>
      <c r="D19" s="209">
        <v>257.545</v>
      </c>
      <c r="E19" s="210">
        <f aca="true" t="shared" si="7" ref="E19:H42">AL19</f>
        <v>93.17374177681191</v>
      </c>
      <c r="F19" s="211">
        <f t="shared" si="7"/>
        <v>434024.9479596858</v>
      </c>
      <c r="G19" s="212">
        <f t="shared" si="7"/>
        <v>7701006.150319767</v>
      </c>
      <c r="H19" s="213">
        <f t="shared" si="7"/>
        <v>257.545</v>
      </c>
      <c r="I19" s="70">
        <f>IF(B19=0," ",(10000000-(D12+B19)/2))</f>
        <v>2299012.7970000003</v>
      </c>
      <c r="J19" s="55">
        <f>IF(B19=0," ",((500000-(AL12+AA19)/2)*0.000001))</f>
        <v>0.06593251199999998</v>
      </c>
      <c r="K19" s="55">
        <f t="shared" si="0"/>
        <v>0.004347096138630142</v>
      </c>
      <c r="L19" s="55">
        <f>IF(B19=0," ",(ABS(-1*((SIN(2*AG19*PI()/180)*L49))+((SIN(4*AG19*PI()/180)*L50))+(((SIN(6*AG19*PI()/180)*AH46))*-1))))</f>
        <v>10629.206513331199</v>
      </c>
      <c r="M19" s="57">
        <f>IF(B19=0," ",(ABS(-1*((SIN(2*AF19*PI()/180)*L49))+((SIN(4*AF19*PI()/180)*L50))+(((SIN(6*AF19*PI()/180)*AH46))*-1))))</f>
        <v>10672.966599158166</v>
      </c>
      <c r="N19" s="57">
        <f>IF(B19=0," ",(ABS(-1*((SIN(2*AE19*PI()/180)*L49))+((SIN(4*AE19*PI()/180)*L50))+(((SIN(6*AE19*PI()/180)*AH46))*-1))))</f>
        <v>10673.132141601698</v>
      </c>
      <c r="O19" s="80">
        <f>IF(B19=0," ",(POWER(L51/(SQRT(ABS(POWER(SIN(AD19*PI()/180),2)*AH47-1))),2)))</f>
        <v>40718322321907.18</v>
      </c>
      <c r="P19" s="81">
        <f>IF(B19=0," ",(-1*(1/(O19*2*(SIN(0.0001/0.36)*PI()/180)/TAN(AD19*PI()/180))*(POWER(COS(AD19*PI()/180),2)*AH48+1)*(1/(0.99920016)*1000000000000*K19))))</f>
        <v>-4.208521498606846</v>
      </c>
      <c r="Q19" s="82">
        <f>IF(B19=0," ",(POWER(TAN(AD19*PI()/180),2)*3+5)+(AH48*6)*(POWER(COS(AD19*PI()/180),2))-(AH48*6)*(POWER(SIN(AD19*PI()/180),2)))</f>
        <v>5.462843510991366</v>
      </c>
      <c r="R19" s="62">
        <f>IF(B18=0," ",(Q19-(3*(POWER(AH48,2))*(POWER(POWER(COS(AD19*PI()/180),2),2)))-((POWER(AH48,2))*9)*(POWER(COS(AD19*PI()/180),2))*(POWER(SIN(AD19*PI()/180),2)))*1.001601601809*1E+24)</f>
        <v>5.471442194309221E+24</v>
      </c>
      <c r="S19" s="83">
        <f>IF(B19=0," ",(((POWER(COS((TAN(AD19*PI()/180)/(POWER(O19,2)*(24*L56))*POWER(K19,2)+P19/3600+AD19)*PI()/180),2))*AH48+1)/(O19*2)*(1/0.99920016)*1000000000000))</f>
        <v>0.012362011458182545</v>
      </c>
      <c r="T19" s="84">
        <f>IF(B19=0," ",((B19-AH12)))</f>
        <v>37.92399999964982</v>
      </c>
      <c r="U19" s="85">
        <f>IF(B19=0," ",((AA19-AL12)))</f>
        <v>-85.14600000000792</v>
      </c>
      <c r="V19" s="86">
        <f>IF(B19=0," ",(SQRT(POWER(AL12-AA19,2)+POWER(AH12-B19,2))))</f>
        <v>93.20982293714964</v>
      </c>
      <c r="W19" s="67">
        <f>IF(B19=0," ",((ATAN((AL12-AA19)/(AH12-B19)))*180/PI()))</f>
        <v>-65.99182470225266</v>
      </c>
      <c r="X19" s="87">
        <f t="shared" si="1"/>
        <v>294.00817529774736</v>
      </c>
      <c r="Y19" s="88">
        <f>IF(B19=0," ",((((AA19-500000)*(0.000001)*S51)+(POWER(S51,2))+(POWER((AA19-500000)*0.000001,2)))/3))</f>
        <v>0.004347096742783589</v>
      </c>
      <c r="Z19" s="88">
        <f t="shared" si="2"/>
        <v>0.9996537179311178</v>
      </c>
      <c r="AA19" s="70">
        <f t="shared" si="3"/>
        <v>434024.915</v>
      </c>
      <c r="AB19" s="87">
        <f t="shared" si="4"/>
        <v>37.90931976658515</v>
      </c>
      <c r="AC19" s="87">
        <f t="shared" si="5"/>
        <v>-85.1130403142011</v>
      </c>
      <c r="AD19" s="72">
        <f>IF(B19=0," ",((I19/0.9996+N19)/L48))</f>
        <v>20.79069558736028</v>
      </c>
      <c r="AE19" s="72">
        <f>IF(B19=0," ",(((I19/0.9996+M19)/L48)))</f>
        <v>20.790694097819138</v>
      </c>
      <c r="AF19" s="72">
        <f>IF(B19=0," ",(((I19/0.9996+L19)/L48)))</f>
        <v>20.790300347148623</v>
      </c>
      <c r="AG19" s="73">
        <f>IF(B19=0," ",(I19/L48))</f>
        <v>20.686381510293774</v>
      </c>
      <c r="AH19" s="74">
        <f t="shared" si="6"/>
        <v>257.545</v>
      </c>
      <c r="AI19" s="70">
        <f>IF(B19=0," ",(AM12+AH19)/2)</f>
        <v>260.418</v>
      </c>
      <c r="AJ19" s="75">
        <f>IF(B19=0,"",(V19-(AI19/B6)*V19)*Z19)</f>
        <v>93.17374177681191</v>
      </c>
      <c r="AK19" s="76">
        <f>IF(B19=0,"",((V19/Z19)*B6)/(B6-AI19))</f>
        <v>93.245918069773</v>
      </c>
      <c r="AL19" s="77">
        <f>IF(AJ16=0,AK19,AJ19)</f>
        <v>93.17374177681191</v>
      </c>
      <c r="AM19" s="78">
        <f>IF(B19=0," ",(AL12)+(AC19))</f>
        <v>434024.9479596858</v>
      </c>
      <c r="AN19" s="78">
        <f>IF(B19=0," ",(AH12)+(AB19))</f>
        <v>7701006.150319767</v>
      </c>
      <c r="AO19" s="89">
        <f>IF(AH19=0," ",AH19)</f>
        <v>257.545</v>
      </c>
      <c r="AQ19" s="1"/>
    </row>
    <row r="20" spans="1:43" ht="18" customHeight="1">
      <c r="A20" s="226" t="s">
        <v>82</v>
      </c>
      <c r="B20" s="208">
        <v>7700998.531</v>
      </c>
      <c r="C20" s="208">
        <v>434093.16</v>
      </c>
      <c r="D20" s="209">
        <v>258.377</v>
      </c>
      <c r="E20" s="210">
        <f t="shared" si="7"/>
        <v>34.67270307416489</v>
      </c>
      <c r="F20" s="211">
        <f t="shared" si="7"/>
        <v>434093.1665443529</v>
      </c>
      <c r="G20" s="212">
        <f t="shared" si="7"/>
        <v>7700998.5192712005</v>
      </c>
      <c r="H20" s="213">
        <f t="shared" si="7"/>
        <v>258.377</v>
      </c>
      <c r="I20" s="70">
        <f>IF(B20=0," ",(10000000-(D12+B20)/2))</f>
        <v>2299016.614</v>
      </c>
      <c r="J20" s="55">
        <f>IF(B20=0," ",((500000-(AL12+AA20)/2)*0.000001))</f>
        <v>0.06589838950000004</v>
      </c>
      <c r="K20" s="55">
        <f t="shared" si="0"/>
        <v>0.004342597738693716</v>
      </c>
      <c r="L20" s="55">
        <f>IF(B20=0," ",(ABS(-1*((SIN(2*AG20*PI()/180)*L49))+((SIN(4*AG20*PI()/180)*L50))+(((SIN(6*AG20*PI()/180)*AH46))*-1))))</f>
        <v>10629.220999051899</v>
      </c>
      <c r="M20" s="57">
        <f>IF(B20=0," ",(ABS(-1*((SIN(2*AF20*PI()/180)*L49))+((SIN(4*AF20*PI()/180)*L50))+(((SIN(6*AF20*PI()/180)*AH46))*-1))))</f>
        <v>10672.98109935525</v>
      </c>
      <c r="N20" s="57">
        <f>IF(B20=0," ",(ABS(-1*((SIN(2*AE20*PI()/180)*L49))+((SIN(4*AE20*PI()/180)*L50))+(((SIN(6*AE20*PI()/180)*AH46))*-1))))</f>
        <v>10673.146641677773</v>
      </c>
      <c r="O20" s="80">
        <f>IF(B20=0," ",(POWER(L51/(SQRT(ABS(POWER(SIN(AD20*PI()/180),2)*AH47-1))),2)))</f>
        <v>40718322431359.086</v>
      </c>
      <c r="P20" s="81">
        <f>IF(B20=0," ",(-1*(1/(O20*2*(SIN(0.0001/0.36)*PI()/180)/TAN(AD20*PI()/180))*(POWER(COS(AD20*PI()/180),2)*AH48+1)*(1/(0.99920016)*1000000000000*K20))))</f>
        <v>-4.204174100157308</v>
      </c>
      <c r="Q20" s="82">
        <f>IF(B20=0," ",(POWER(TAN(AD20*PI()/180),2)*3+5)+(AH48*6)*(POWER(COS(AD20*PI()/180),2))-(AH48*6)*(POWER(SIN(AD20*PI()/180),2)))</f>
        <v>5.462845047517058</v>
      </c>
      <c r="R20" s="62">
        <f>IF(B19=0," ",(Q20-(3*(POWER(AH48,2))*(POWER(POWER(COS(AD20*PI()/180),2),2)))-((POWER(AH48,2))*9)*(POWER(COS(AD20*PI()/180),2))*(POWER(SIN(AD20*PI()/180),2)))*1.001601601809*1E+24)</f>
        <v>5.471443733268538E+24</v>
      </c>
      <c r="S20" s="83">
        <f>IF(B20=0," ",(((POWER(COS((TAN(AD20*PI()/180)/(POWER(O20,2)*(24*L56))*POWER(K20,2)+P20/3600+AD20)*PI()/180),2))*AH48+1)/(O20*2)*(1/0.99920016)*1000000000000))</f>
        <v>0.012362011390561818</v>
      </c>
      <c r="T20" s="84">
        <f>IF(B20=0," ",((B20-AH12)))</f>
        <v>30.290000000037253</v>
      </c>
      <c r="U20" s="85">
        <f>IF(B20=0," ",((AA20-AL12)))</f>
        <v>-16.901000000012573</v>
      </c>
      <c r="V20" s="86">
        <f>IF(B20=0," ",(SQRT(POWER(AL12-AA20,2)+POWER(AH12-B20,2))))</f>
        <v>34.68613413170574</v>
      </c>
      <c r="W20" s="67">
        <f>IF(B20=0," ",((ATAN((AL12-AA20)/(AH12-B20)))*180/PI()))</f>
        <v>-29.160334398381398</v>
      </c>
      <c r="X20" s="87">
        <f t="shared" si="1"/>
        <v>330.8396656016186</v>
      </c>
      <c r="Y20" s="88">
        <f>IF(B20=0," ",((((AA20-500000)*(0.000001)*S51)+(POWER(S51,2))+(POWER((AA20-500000)*0.000001,2)))/3))</f>
        <v>0.004342597762497362</v>
      </c>
      <c r="Z20" s="88">
        <f t="shared" si="2"/>
        <v>0.9996536623354522</v>
      </c>
      <c r="AA20" s="70">
        <f t="shared" si="3"/>
        <v>434093.16</v>
      </c>
      <c r="AB20" s="87">
        <f t="shared" si="4"/>
        <v>30.27827119995338</v>
      </c>
      <c r="AC20" s="87">
        <f t="shared" si="5"/>
        <v>-16.894455647083674</v>
      </c>
      <c r="AD20" s="72">
        <f>IF(B20=0," ",((I20/0.9996+N20)/L48))</f>
        <v>20.790730076715462</v>
      </c>
      <c r="AE20" s="72">
        <f>IF(B20=0," ",(((I20/0.9996+M20)/L48)))</f>
        <v>20.790728587175412</v>
      </c>
      <c r="AF20" s="72">
        <f>IF(B20=0," ",(((I20/0.9996+L20)/L48)))</f>
        <v>20.79033483637464</v>
      </c>
      <c r="AG20" s="73">
        <f>IF(B20=0," ",(I20/L48))</f>
        <v>20.686415855434575</v>
      </c>
      <c r="AH20" s="74">
        <f t="shared" si="6"/>
        <v>258.377</v>
      </c>
      <c r="AI20" s="70">
        <f>IF(B20=0," ",(AM12+AH20)/2)</f>
        <v>260.834</v>
      </c>
      <c r="AJ20" s="75">
        <f>IF(B20=0,"",(V20-(AI20/B6)*V20)*Z20)</f>
        <v>34.67270307416489</v>
      </c>
      <c r="AK20" s="76">
        <f>IF(B20=0,"",((V20/Z20)*B6)/(B6-AI20))</f>
        <v>34.69957039199373</v>
      </c>
      <c r="AL20" s="77">
        <f>IF(AJ16=0,AK20,AJ20)</f>
        <v>34.67270307416489</v>
      </c>
      <c r="AM20" s="78">
        <f>IF(B20=0," ",(AL12)+(AC20))</f>
        <v>434093.1665443529</v>
      </c>
      <c r="AN20" s="78">
        <f>IF(B20=0," ",(AH12)+(AB20))</f>
        <v>7700998.5192712005</v>
      </c>
      <c r="AO20" s="89">
        <f aca="true" t="shared" si="8" ref="AO20:AO42">IF(AH20=0,"",AH20)</f>
        <v>258.377</v>
      </c>
      <c r="AQ20" s="1"/>
    </row>
    <row r="21" spans="1:43" ht="18" customHeight="1">
      <c r="A21" s="226" t="s">
        <v>83</v>
      </c>
      <c r="B21" s="208">
        <v>7700871.819</v>
      </c>
      <c r="C21" s="208">
        <v>435190.315</v>
      </c>
      <c r="D21" s="209">
        <v>254.128</v>
      </c>
      <c r="E21" s="210">
        <f t="shared" si="7"/>
        <v>1084.12815293596</v>
      </c>
      <c r="F21" s="211">
        <f t="shared" si="7"/>
        <v>435189.89610727504</v>
      </c>
      <c r="G21" s="212">
        <f t="shared" si="7"/>
        <v>7700871.856389794</v>
      </c>
      <c r="H21" s="213">
        <f t="shared" si="7"/>
        <v>254.128</v>
      </c>
      <c r="I21" s="70">
        <f>IF(B21=0," ",(10000000-(D12+B21)/2))</f>
        <v>2299079.9699999997</v>
      </c>
      <c r="J21" s="55">
        <f>IF(B21=0," ",((500000-(AL12+AA21)/2)*0.000001))</f>
        <v>0.06534981200000003</v>
      </c>
      <c r="K21" s="55">
        <f t="shared" si="0"/>
        <v>0.004270597928435349</v>
      </c>
      <c r="L21" s="55">
        <f>IF(B21=0," ",(ABS(-1*((SIN(2*AG21*PI()/180)*L49))+((SIN(4*AG21*PI()/180)*L50))+(((SIN(6*AG21*PI()/180)*AH46))*-1))))</f>
        <v>10629.461436265465</v>
      </c>
      <c r="M21" s="57">
        <f>IF(B21=0," ",(ABS(-1*((SIN(2*AF21*PI()/180)*L49))+((SIN(4*AF21*PI()/180)*L50))+(((SIN(6*AF21*PI()/180)*AH46))*-1))))</f>
        <v>10673.221776816963</v>
      </c>
      <c r="N21" s="57">
        <f>IF(B21=0," ",(ABS(-1*((SIN(2*AE21*PI()/180)*L49))+((SIN(4*AE21*PI()/180)*L50))+(((SIN(6*AE21*PI()/180)*AH46))*-1))))</f>
        <v>10673.387317130731</v>
      </c>
      <c r="O21" s="80">
        <f>IF(B21=0," ",(POWER(L51/(SQRT(ABS(POWER(SIN(AD21*PI()/180),2)*AH47-1))),2)))</f>
        <v>40718324248104.555</v>
      </c>
      <c r="P21" s="81">
        <f>IF(B21=0," ",(-1*(1/(O21*2*(SIN(0.0001/0.36)*PI()/180)/TAN(AD21*PI()/180))*(POWER(COS(AD21*PI()/180),2)*AH48+1)*(1/(0.99920016)*1000000000000*K21))))</f>
        <v>-4.134593455472294</v>
      </c>
      <c r="Q21" s="82">
        <f>IF(B21=0," ",(POWER(TAN(AD21*PI()/180),2)*3+5)+(AH48*6)*(POWER(COS(AD21*PI()/180),2))-(AH48*6)*(POWER(SIN(AD21*PI()/180),2)))</f>
        <v>5.462870551860822</v>
      </c>
      <c r="R21" s="62">
        <f>IF(B21=0," ",((Q21-(3*(POWER(AH48,2))*(POWER(POWER(COS(AD21*PI()/180),2),2)))-((POWER(AH48,2))*9)*(POWER(COS(AD21*PI()/180),2))*(POWER(SIN(AD21*PI()/180),2))))*1.001601601809*1E+24)</f>
        <v>5.471469278007369E+24</v>
      </c>
      <c r="S21" s="83">
        <f>IF(B21=0," ",(((POWER(COS((TAN(AD21*PI()/180)/(POWER(O21,2)*(24*L56))*POWER(K21,2)+P21/3600+AD21)*PI()/180),2))*AH48+1)/(O21*2)*(1/0.99920016)*1000000000000))</f>
        <v>0.012362010268844337</v>
      </c>
      <c r="T21" s="84">
        <f>IF(B21=0," ",((B21-AH12)))</f>
        <v>-96.42200000025332</v>
      </c>
      <c r="U21" s="85">
        <f>IF(B21=0," ",((AA21-AL12)))</f>
        <v>1080.2540000000154</v>
      </c>
      <c r="V21" s="86">
        <f>IF(B21=0," ",(SQRT(POWER(AL12-AA21,2)+POWER(AH12-B21,2))))</f>
        <v>1084.5487110314973</v>
      </c>
      <c r="W21" s="67">
        <f>IF(B21=0," ",((ATAN((AL12-AA21)/(AH12-B21)))*180/PI()))</f>
        <v>-84.89937387733124</v>
      </c>
      <c r="X21" s="87">
        <f t="shared" si="1"/>
        <v>95.10062612266876</v>
      </c>
      <c r="Y21" s="88">
        <f>IF(B21=0," ",((((AA21-500000)*(0.000001)*S51)+(POWER(S51,2))+(POWER((AA21-500000)*0.000001,2)))/3))</f>
        <v>0.004270695174160721</v>
      </c>
      <c r="Z21" s="88">
        <f t="shared" si="2"/>
        <v>0.9996527738070122</v>
      </c>
      <c r="AA21" s="70">
        <f t="shared" si="3"/>
        <v>435190.315</v>
      </c>
      <c r="AB21" s="87">
        <f t="shared" si="4"/>
        <v>-96.38461020643767</v>
      </c>
      <c r="AC21" s="87">
        <f t="shared" si="5"/>
        <v>1079.8351072750365</v>
      </c>
      <c r="AD21" s="72">
        <f>IF(B21=0," ",((I21/0.9996+N21)/L48))</f>
        <v>20.791302543969785</v>
      </c>
      <c r="AE21" s="72">
        <f>IF(B21=0," ",(((I21/0.9996+M21)/L48)))</f>
        <v>20.791301054447807</v>
      </c>
      <c r="AF21" s="72">
        <f>IF(B21=0," ",(((I21/0.9996+L21)/L48)))</f>
        <v>20.790907301485298</v>
      </c>
      <c r="AG21" s="73">
        <f>IF(B21=0," ",(I21/L48))</f>
        <v>20.686985928984697</v>
      </c>
      <c r="AH21" s="74">
        <f t="shared" si="6"/>
        <v>254.128</v>
      </c>
      <c r="AI21" s="70">
        <f>IF(B21=0," ",(AM12+AH21)/2)</f>
        <v>258.7095</v>
      </c>
      <c r="AJ21" s="75">
        <f>IF(B21=0,"",(V21-(AI21/B6)*V21)*Z21)</f>
        <v>1084.12815293596</v>
      </c>
      <c r="AK21" s="76">
        <f>IF(B21=0,"",((V21/Z21)*B6)/(B6-AI21))</f>
        <v>1084.9694322711343</v>
      </c>
      <c r="AL21" s="77">
        <f>IF(AJ16=0,AK21,AJ21)</f>
        <v>1084.12815293596</v>
      </c>
      <c r="AM21" s="78">
        <f>IF(B21=0," ",(AL12)+(AC21))</f>
        <v>435189.89610727504</v>
      </c>
      <c r="AN21" s="78">
        <f>IF(B21=0," ",(AH12)+(AB21))</f>
        <v>7700871.856389794</v>
      </c>
      <c r="AO21" s="79">
        <f t="shared" si="8"/>
        <v>254.128</v>
      </c>
      <c r="AQ21" s="1"/>
    </row>
    <row r="22" spans="1:43" ht="18" customHeight="1">
      <c r="A22" s="226" t="s">
        <v>84</v>
      </c>
      <c r="B22" s="208">
        <v>7700865.842</v>
      </c>
      <c r="C22" s="208">
        <v>435241.951</v>
      </c>
      <c r="D22" s="209">
        <v>255.652</v>
      </c>
      <c r="E22" s="210">
        <f t="shared" si="7"/>
        <v>1136.0715492804425</v>
      </c>
      <c r="F22" s="211">
        <f t="shared" si="7"/>
        <v>435241.5119020281</v>
      </c>
      <c r="G22" s="212">
        <f t="shared" si="7"/>
        <v>7700865.881723995</v>
      </c>
      <c r="H22" s="213">
        <f t="shared" si="7"/>
        <v>255.652</v>
      </c>
      <c r="I22" s="70">
        <f>IF(B22=0," ",(10000000-(D12+B22)/2))</f>
        <v>2299082.9584999997</v>
      </c>
      <c r="J22" s="55">
        <f>IF(B22=0," ",((500000-(AL12+AA22)/2)*0.000001))</f>
        <v>0.065323994</v>
      </c>
      <c r="K22" s="55">
        <f t="shared" si="0"/>
        <v>0.0042672241921120355</v>
      </c>
      <c r="L22" s="55">
        <f>IF(B22=0," ",(ABS(-1*((SIN(2*AG22*PI()/180)*L49))+((SIN(4*AG22*PI()/180)*L50))+(((SIN(6*AG22*PI()/180)*AH46))*-1))))</f>
        <v>10629.472777575807</v>
      </c>
      <c r="M22" s="57">
        <f>IF(B22=0," ",(ABS(-1*((SIN(2*AF22*PI()/180)*L49))+((SIN(4*AF22*PI()/180)*L50))+(((SIN(6*AF22*PI()/180)*AH46))*-1))))</f>
        <v>10673.233129458105</v>
      </c>
      <c r="N22" s="57">
        <f>IF(B22=0," ",(ABS(-1*((SIN(2*AE22*PI()/180)*L49))+((SIN(4*AE22*PI()/180)*L50))+(((SIN(6*AE22*PI()/180)*AH46))*-1))))</f>
        <v>10673.398669677112</v>
      </c>
      <c r="O22" s="80">
        <f>IF(B22=0," ",(POWER(L51/(SQRT(ABS(POWER(SIN(AD22*PI()/180),2)*AH47-1))),2)))</f>
        <v>40718324333801.38</v>
      </c>
      <c r="P22" s="81">
        <f>IF(B22=0," ",(-1*(1/(O22*2*(SIN(0.0001/0.36)*PI()/180)/TAN(AD22*PI()/180))*(POWER(COS(AD22*PI()/180),2)*AH48+1)*(1/(0.99920016)*1000000000000*K22))))</f>
        <v>-4.131333011493905</v>
      </c>
      <c r="Q22" s="82">
        <f>IF(B22=0," ",(POWER(TAN(AD22*PI()/180),2)*3+5)+(AH48*6)*(POWER(COS(AD22*PI()/180),2))-(AH48*6)*(POWER(SIN(AD22*PI()/180),2)))</f>
        <v>5.462871754923608</v>
      </c>
      <c r="R22" s="62">
        <f>IF(B22=0," ",((Q22-(3*(POWER(AH48,2))*(POWER(POWER(COS(AD22*PI()/180),2),2)))-((POWER(AH48,2))*9)*(POWER(COS(AD22*PI()/180),2))*(POWER(SIN(AD22*PI()/180),2))))*1.001601601809*1E+24)</f>
        <v>5.471470482975627E+24</v>
      </c>
      <c r="S22" s="83">
        <f>IF(B22=0," ",(((POWER(COS((TAN(AD22*PI()/180)/(POWER(O22,2)*(24*L56))*POWER(K22,2)+P22/3600+AD22)*PI()/180),2))*AH48+1)/(O22*2)*(1/0.99920016)*1000000000000))</f>
        <v>0.012362010215938137</v>
      </c>
      <c r="T22" s="84">
        <f>IF(B22=0," ",((B22-AH12)))</f>
        <v>-102.39900000020862</v>
      </c>
      <c r="U22" s="85">
        <f>IF(B22=0," ",((AA22-AL12)))</f>
        <v>1131.890000000014</v>
      </c>
      <c r="V22" s="86">
        <f>IF(B22=0," ",(SQRT(POWER(AL12-AA22,2)+POWER(AH12-B22,2))))</f>
        <v>1136.512440451522</v>
      </c>
      <c r="W22" s="67">
        <f>IF(B22=0," ",((ATAN((AL12-AA22)/(AH12-B22)))*180/PI()))</f>
        <v>-84.83067898021268</v>
      </c>
      <c r="X22" s="87">
        <f t="shared" si="1"/>
        <v>95.16932101978732</v>
      </c>
      <c r="Y22" s="88">
        <f>IF(B22=0," ",((((AA22-500000)*(0.000001)*S51)+(POWER(S51,2))+(POWER((AA22-500000)*0.000001,2)))/3))</f>
        <v>0.004267330956693045</v>
      </c>
      <c r="Z22" s="88">
        <f t="shared" si="2"/>
        <v>0.9996527322340694</v>
      </c>
      <c r="AA22" s="70">
        <f t="shared" si="3"/>
        <v>435241.951</v>
      </c>
      <c r="AB22" s="87">
        <f t="shared" si="4"/>
        <v>-102.35927600474608</v>
      </c>
      <c r="AC22" s="87">
        <f t="shared" si="5"/>
        <v>1131.4509020281212</v>
      </c>
      <c r="AD22" s="72">
        <f>IF(B22=0," ",((I22/0.9996+N22)/L48))</f>
        <v>20.791329547226454</v>
      </c>
      <c r="AE22" s="72">
        <f>IF(B22=0," ",(((I22/0.9996+M22)/L48)))</f>
        <v>20.79132805770533</v>
      </c>
      <c r="AF22" s="72">
        <f>IF(B22=0," ",(((I22/0.9996+L22)/L48)))</f>
        <v>20.790934304640864</v>
      </c>
      <c r="AG22" s="73">
        <f>IF(B22=0," ",(I22/L48))</f>
        <v>20.687012819331382</v>
      </c>
      <c r="AH22" s="74">
        <f t="shared" si="6"/>
        <v>255.652</v>
      </c>
      <c r="AI22" s="70">
        <f>IF(B22=0," ",(AM12+AH22)/2)</f>
        <v>259.4715</v>
      </c>
      <c r="AJ22" s="75">
        <f>IF(B22=0,"",(V22-(AI22/B6)*V22)*Z22)</f>
        <v>1136.0715492804425</v>
      </c>
      <c r="AK22" s="76">
        <f>IF(B22=0,"",((V22/Z22)*B6)/(B6-AI22))</f>
        <v>1136.953502725403</v>
      </c>
      <c r="AL22" s="77">
        <f>IF(AJ16=0,AK22,AJ22)</f>
        <v>1136.0715492804425</v>
      </c>
      <c r="AM22" s="78">
        <f>IF(B22=0," ",(AL12)+(AC22))</f>
        <v>435241.5119020281</v>
      </c>
      <c r="AN22" s="78">
        <f>IF(B22=0," ",(AH12)+(AB22))</f>
        <v>7700865.881723995</v>
      </c>
      <c r="AO22" s="79">
        <f t="shared" si="8"/>
        <v>255.652</v>
      </c>
      <c r="AQ22" s="1"/>
    </row>
    <row r="23" spans="1:43" ht="18" customHeight="1">
      <c r="A23" s="226" t="s">
        <v>85</v>
      </c>
      <c r="B23" s="208">
        <v>7700859.871</v>
      </c>
      <c r="C23" s="208">
        <v>435293.586</v>
      </c>
      <c r="D23" s="209">
        <v>253.988</v>
      </c>
      <c r="E23" s="210">
        <f t="shared" si="7"/>
        <v>1188.015173749925</v>
      </c>
      <c r="F23" s="211">
        <f t="shared" si="7"/>
        <v>435293.1269762377</v>
      </c>
      <c r="G23" s="212">
        <f t="shared" si="7"/>
        <v>7700859.9130307175</v>
      </c>
      <c r="H23" s="214">
        <f t="shared" si="7"/>
        <v>253.988</v>
      </c>
      <c r="I23" s="70">
        <f>IF(B23=0," ",(10000000-(D12+B23)/2))</f>
        <v>2299085.944</v>
      </c>
      <c r="J23" s="55">
        <f>IF(B23=0," ",((500000-(AL12+AA23)/2)*0.000001))</f>
        <v>0.0652981765</v>
      </c>
      <c r="K23" s="55">
        <f t="shared" si="0"/>
        <v>0.004263851854225152</v>
      </c>
      <c r="L23" s="55">
        <f>IF(B23=0," ",(ABS(-1*((SIN(2*AG23*PI()/180)*L49))+((SIN(4*AG23*PI()/180)*L50))+(((SIN(6*AG23*PI()/180)*AH46))*-1))))</f>
        <v>10629.484107491888</v>
      </c>
      <c r="M23" s="57">
        <f>IF(B23=0," ",(ABS(-1*((SIN(2*AF23*PI()/180)*L49))+((SIN(4*AF23*PI()/180)*L50))+(((SIN(6*AF23*PI()/180)*AH46))*-1))))</f>
        <v>10673.244470693464</v>
      </c>
      <c r="N23" s="57">
        <f>IF(B23=0," ",(ABS(-1*((SIN(2*AE23*PI()/180)*L49))+((SIN(4*AE23*PI()/180)*L50))+(((SIN(6*AE23*PI()/180)*AH46))*-1))))</f>
        <v>10673.410010817805</v>
      </c>
      <c r="O23" s="80">
        <f>IF(B23=0," ",(POWER(L51/(SQRT(ABS(POWER(SIN(AD23*PI()/180),2)*AH47-1))),2)))</f>
        <v>40718324419412.266</v>
      </c>
      <c r="P23" s="81">
        <f>IF(B23=0," ",(-1*(1/(O23*2*(SIN(0.0001/0.36)*PI()/180)/TAN(AD23*PI()/180))*(POWER(COS(AD23*PI()/180),2)*AH48+1)*(1/(0.99920016)*1000000000000*K23))))</f>
        <v>-4.128073906304222</v>
      </c>
      <c r="Q23" s="82">
        <f>IF(B23=0," ",(POWER(TAN(AD23*PI()/180),2)*3+5)+(AH48*6)*(POWER(COS(AD23*PI()/180),2))-(AH48*6)*(POWER(SIN(AD23*PI()/180),2)))</f>
        <v>5.46287295678085</v>
      </c>
      <c r="R23" s="62">
        <f>IF(B23=0," ",((Q23-(3*(POWER(AH48,2))*(POWER(POWER(COS(AD23*PI()/180),2),2)))-((POWER(AH48,2))*9)*(POWER(COS(AD23*PI()/180),2))*(POWER(SIN(AD23*PI()/180),2))))*1.001601601809*1E+24)</f>
        <v>5.471471686736432E+24</v>
      </c>
      <c r="S23" s="83">
        <f>IF(B23=0," ",(((POWER(COS((TAN(AD23*PI()/180)/(POWER(O23,2)*(24*L56))*POWER(K23,2)+P23/3600+AD23)*PI()/180),2))*AH48+1)/(O23*2)*(1/0.99920016)*1000000000000))</f>
        <v>0.012362010163084474</v>
      </c>
      <c r="T23" s="84">
        <f>IF(B23=0," ",((B23-AH12)))</f>
        <v>-108.37000000011176</v>
      </c>
      <c r="U23" s="85">
        <f>IF(B23=0," ",((AA23-AL12)))</f>
        <v>1183.5250000000233</v>
      </c>
      <c r="V23" s="86">
        <f>IF(B23=0," ",(SQRT(POWER(AL12-AA23,2)+POWER(AH12-B23,2))))</f>
        <v>1188.4761177764908</v>
      </c>
      <c r="W23" s="67">
        <f>IF(B23=0," ",((ATAN((AL12-AA23)/(AH12-B23)))*180/PI()))</f>
        <v>-84.76827491195657</v>
      </c>
      <c r="X23" s="87">
        <f t="shared" si="1"/>
        <v>95.23172508804343</v>
      </c>
      <c r="Y23" s="88">
        <f>IF(B23=0," ",((((AA23-500000)*(0.000001)*S51)+(POWER(S51,2))+(POWER((AA23-500000)*0.000001,2)))/3))</f>
        <v>0.004263968581843954</v>
      </c>
      <c r="Z23" s="88">
        <f t="shared" si="2"/>
        <v>0.9996526906838975</v>
      </c>
      <c r="AA23" s="70">
        <f t="shared" si="3"/>
        <v>435293.586</v>
      </c>
      <c r="AB23" s="87">
        <f t="shared" si="4"/>
        <v>-108.32796928244555</v>
      </c>
      <c r="AC23" s="87">
        <f t="shared" si="5"/>
        <v>1183.0659762376763</v>
      </c>
      <c r="AD23" s="72">
        <f>IF(B23=0," ",((I23/0.9996+N23)/L48))</f>
        <v>20.791356523375875</v>
      </c>
      <c r="AE23" s="72">
        <f>IF(B23=0," ",(((I23/0.9996+M23)/L48)))</f>
        <v>20.791355033855602</v>
      </c>
      <c r="AF23" s="72">
        <f>IF(B23=0," ",(((I23/0.9996+L23)/L48)))</f>
        <v>20.790961280689285</v>
      </c>
      <c r="AG23" s="73">
        <f>IF(B23=0," ",(I23/L48))</f>
        <v>20.687039682684247</v>
      </c>
      <c r="AH23" s="74">
        <f t="shared" si="6"/>
        <v>253.988</v>
      </c>
      <c r="AI23" s="70">
        <f>IF(B23=0," ",(AM12+AH23)/2)</f>
        <v>258.6395</v>
      </c>
      <c r="AJ23" s="75">
        <f>IF(B23=0,"",(V23-(AI23/B6)*V23)*Z23)</f>
        <v>1188.015173749925</v>
      </c>
      <c r="AK23" s="76">
        <f>IF(B23=0,"",((V23/Z23)*B6)/(B6-AI23))</f>
        <v>1188.937240647065</v>
      </c>
      <c r="AL23" s="77">
        <f>IF(AJ16=0,AK23,AJ23)</f>
        <v>1188.015173749925</v>
      </c>
      <c r="AM23" s="78">
        <f>IF(B23=0," ",(AL12)+(AC23))</f>
        <v>435293.1269762377</v>
      </c>
      <c r="AN23" s="78">
        <f>IF(B23=0," ",(AH12)+(AB23))</f>
        <v>7700859.9130307175</v>
      </c>
      <c r="AO23" s="79">
        <f t="shared" si="8"/>
        <v>253.988</v>
      </c>
      <c r="AQ23" s="1"/>
    </row>
    <row r="24" spans="1:43" ht="18" customHeight="1">
      <c r="A24" s="226" t="s">
        <v>86</v>
      </c>
      <c r="B24" s="208">
        <v>7700976.528</v>
      </c>
      <c r="C24" s="208">
        <v>434283.795</v>
      </c>
      <c r="D24" s="208">
        <v>253.838</v>
      </c>
      <c r="E24" s="210">
        <f t="shared" si="7"/>
        <v>173.86421565214403</v>
      </c>
      <c r="F24" s="211">
        <f t="shared" si="7"/>
        <v>434283.7277621085</v>
      </c>
      <c r="G24" s="212">
        <f t="shared" si="7"/>
        <v>7700976.524792796</v>
      </c>
      <c r="H24" s="214">
        <f t="shared" si="7"/>
        <v>253.838</v>
      </c>
      <c r="I24" s="70">
        <f>IF(B24=0," ",(10000000-(D12+B24)/2))</f>
        <v>2299027.6154999994</v>
      </c>
      <c r="J24" s="55">
        <f>IF(B24=0," ",((500000-(AL12+AA24)/2)*0.000001))</f>
        <v>0.06580307200000005</v>
      </c>
      <c r="K24" s="55">
        <f t="shared" si="0"/>
        <v>0.00433004428463719</v>
      </c>
      <c r="L24" s="55">
        <f>IF(B24=0," ",(ABS(-1*((SIN(2*AG24*PI()/180)*L49))+((SIN(4*AG24*PI()/180)*L50))+(((SIN(6*AG24*PI()/180)*AH46))*-1))))</f>
        <v>10629.262750252205</v>
      </c>
      <c r="M24" s="57">
        <f>IF(B24=0," ",(ABS(-1*((SIN(2*AF24*PI()/180)*L49))+((SIN(4*AF24*PI()/180)*L50))+(((SIN(6*AF24*PI()/180)*AH46))*-1))))</f>
        <v>10673.022892278543</v>
      </c>
      <c r="N24" s="57">
        <f>IF(B24=0," ",(ABS(-1*((SIN(2*AE24*PI()/180)*L49))+((SIN(4*AE24*PI()/180)*L50))+(((SIN(6*AE24*PI()/180)*AH46))*-1))))</f>
        <v>10673.18843425228</v>
      </c>
      <c r="O24" s="80">
        <f>IF(B24=0," ",(POWER(L51/(SQRT(ABS(POWER(SIN(AD24*PI()/180),2)*AH47-1))),2)))</f>
        <v>40718322746826.26</v>
      </c>
      <c r="P24" s="81">
        <f>IF(B24=0," ",(-1*(1/(O24*2*(SIN(0.0001/0.36)*PI()/180)/TAN(AD24*PI()/180))*(POWER(COS(AD24*PI()/180),2)*AH48+1)*(1/(0.99920016)*1000000000000*K24))))</f>
        <v>-4.192042649301929</v>
      </c>
      <c r="Q24" s="82">
        <f>IF(B24=0," ",(POWER(TAN(AD24*PI()/180),2)*3+5)+(AH48*6)*(POWER(COS(AD24*PI()/180),2))-(AH48*6)*(POWER(SIN(AD24*PI()/180),2)))</f>
        <v>5.462849476168461</v>
      </c>
      <c r="R24" s="62">
        <f>IF(B24=0," ",((Q24-(3*(POWER(AH48,2))*(POWER(POWER(COS(AD24*PI()/180),2),2)))-((POWER(AH48,2))*9)*(POWER(COS(AD24*PI()/180),2))*(POWER(SIN(AD24*PI()/180),2))))*1.001601601809*1E+24)</f>
        <v>5.471448168934263E+24</v>
      </c>
      <c r="S24" s="83">
        <f>IF(B24=0," ",(((POWER(COS((TAN(AD24*PI()/180)/(POWER(O24,2)*(24*L56))*POWER(K24,2)+P24/3600+AD24)*PI()/180),2))*AH48+1)/(O24*2)*(1/0.99920016)*1000000000000))</f>
        <v>0.012362011195769058</v>
      </c>
      <c r="T24" s="84">
        <f>IF(B24=0," ",((B24-AH12)))</f>
        <v>8.286999999545515</v>
      </c>
      <c r="U24" s="85">
        <f>IF(B24=0," ",((AA24-AL12)))</f>
        <v>173.73399999999674</v>
      </c>
      <c r="V24" s="86">
        <f>IF(B24=0," ",(SQRT(POWER(AL12-AA24,2)+POWER(AH12-B24,2))))</f>
        <v>173.93152999094596</v>
      </c>
      <c r="W24" s="67">
        <f>IF(B24=0," ",((ATAN((AL12-AA24)/(AH12-B24)))*180/PI()))</f>
        <v>87.26909807486508</v>
      </c>
      <c r="X24" s="87">
        <f t="shared" si="1"/>
        <v>87.26909807486508</v>
      </c>
      <c r="Y24" s="88">
        <f>IF(B24=0," ",((((AA24-500000)*(0.000001)*S51)+(POWER(S51,2))+(POWER((AA24-500000)*0.000001,2)))/3))</f>
        <v>0.004330046799929082</v>
      </c>
      <c r="Z24" s="88">
        <f t="shared" si="2"/>
        <v>0.9996535072382633</v>
      </c>
      <c r="AA24" s="70">
        <f t="shared" si="3"/>
        <v>434283.795</v>
      </c>
      <c r="AB24" s="87">
        <f t="shared" si="4"/>
        <v>8.283792795390822</v>
      </c>
      <c r="AC24" s="87">
        <f t="shared" si="5"/>
        <v>173.66676210852287</v>
      </c>
      <c r="AD24" s="72">
        <f>IF(B24=0," ",((I24/0.9996+N24)/L48))</f>
        <v>20.790829483222698</v>
      </c>
      <c r="AE24" s="72">
        <f>IF(B24=0," ",(((I24/0.9996+M24)/L48)))</f>
        <v>20.790827993685788</v>
      </c>
      <c r="AF24" s="72">
        <f>IF(B24=0," ",(((I24/0.9996+L24)/L48)))</f>
        <v>20.790434242509594</v>
      </c>
      <c r="AG24" s="73">
        <f>IF(B24=0," ",(I24/L48))</f>
        <v>20.686514846282503</v>
      </c>
      <c r="AH24" s="74">
        <f t="shared" si="6"/>
        <v>253.838</v>
      </c>
      <c r="AI24" s="70">
        <f>IF(B24=0," ",(AM12+AH24)/2)</f>
        <v>258.5645</v>
      </c>
      <c r="AJ24" s="75">
        <f>IF(B24=0,"",(V24-(AI24/B6)*V24)*Z24)</f>
        <v>173.86421565214403</v>
      </c>
      <c r="AK24" s="76">
        <f>IF(B24=0,"",((V24/Z24)*B6)/(B6-AI24))</f>
        <v>173.9988703915812</v>
      </c>
      <c r="AL24" s="77">
        <f>IF(AJ16=0,AK24,AJ24)</f>
        <v>173.86421565214403</v>
      </c>
      <c r="AM24" s="78">
        <f>IF(B24=0," ",(AL12)+(AC24))</f>
        <v>434283.7277621085</v>
      </c>
      <c r="AN24" s="78">
        <f>IF(B24=0," ",(AH12)+(AB24))</f>
        <v>7700976.524792796</v>
      </c>
      <c r="AO24" s="79">
        <f t="shared" si="8"/>
        <v>253.838</v>
      </c>
      <c r="AQ24" s="1"/>
    </row>
    <row r="25" spans="1:43" ht="18" customHeight="1">
      <c r="A25" s="226" t="s">
        <v>87</v>
      </c>
      <c r="B25" s="208">
        <v>7700875.614</v>
      </c>
      <c r="C25" s="208">
        <v>435157.577</v>
      </c>
      <c r="D25" s="208">
        <v>253.184</v>
      </c>
      <c r="E25" s="210">
        <f t="shared" si="7"/>
        <v>1051.19563739249</v>
      </c>
      <c r="F25" s="211">
        <f t="shared" si="7"/>
        <v>435157.17090727924</v>
      </c>
      <c r="G25" s="212">
        <f t="shared" si="7"/>
        <v>7700875.649908903</v>
      </c>
      <c r="H25" s="214">
        <f t="shared" si="7"/>
        <v>253.184</v>
      </c>
      <c r="I25" s="70">
        <f>IF(B25=0," ",(10000000-(D12+B25)/2))</f>
        <v>2299078.0725</v>
      </c>
      <c r="J25" s="55">
        <f>IF(B25=0," ",((500000-(AL12+AA25)/2)*0.000001))</f>
        <v>0.06536618099999998</v>
      </c>
      <c r="K25" s="55">
        <f t="shared" si="0"/>
        <v>0.004272737618524759</v>
      </c>
      <c r="L25" s="55">
        <f>IF(B25=0," ",(ABS(-1*((SIN(2*AG25*PI()/180)*L49))+((SIN(4*AG25*PI()/180)*L50))+(((SIN(6*AG25*PI()/180)*AH46))*-1))))</f>
        <v>10629.454235278074</v>
      </c>
      <c r="M25" s="57">
        <f>IF(B25=0," ",(ABS(-1*((SIN(2*AF25*PI()/180)*L49))+((SIN(4*AF25*PI()/180)*L50))+(((SIN(6*AF25*PI()/180)*AH46))*-1))))</f>
        <v>10673.214568635176</v>
      </c>
      <c r="N25" s="57">
        <f>IF(B25=0," ",(ABS(-1*((SIN(2*AE25*PI()/180)*L49))+((SIN(4*AE25*PI()/180)*L50))+(((SIN(6*AE25*PI()/180)*AH46))*-1))))</f>
        <v>10673.380109009107</v>
      </c>
      <c r="O25" s="80">
        <f>IF(B25=0," ",(POWER(L51/(SQRT(ABS(POWER(SIN(AD25*PI()/180),2)*AH47-1))),2)))</f>
        <v>40718324193692.78</v>
      </c>
      <c r="P25" s="81">
        <f>IF(B25=0," ",(-1*(1/(O25*2*(SIN(0.0001/0.36)*PI()/180)/TAN(AD25*PI()/180))*(POWER(COS(AD25*PI()/180),2)*AH48+1)*(1/(0.99920016)*1000000000000*K25))))</f>
        <v>-4.136661284346939</v>
      </c>
      <c r="Q25" s="82">
        <f>IF(B25=0," ",(POWER(TAN(AD25*PI()/180),2)*3+5)+(AH48*6)*(POWER(COS(AD25*PI()/180),2))-(AH48*6)*(POWER(SIN(AD25*PI()/180),2)))</f>
        <v>5.462869787996577</v>
      </c>
      <c r="R25" s="62">
        <f>IF(B25=0," ",((Q25-(3*(POWER(AH48,2))*(POWER(POWER(COS(AD25*PI()/180),2),2)))-((POWER(AH48,2))*9)*(POWER(COS(AD25*PI()/180),2))*(POWER(SIN(AD25*PI()/180),2))))*1.001601601809*1E+24)</f>
        <v>5.471468512933277E+24</v>
      </c>
      <c r="S25" s="83">
        <f>IF(B25=0," ",(((POWER(COS((TAN(AD25*PI()/180)/(POWER(O25,2)*(24*L56))*POWER(K25,2)+P25/3600+AD25)*PI()/180),2))*AH48+1)/(O25*2)*(1/0.99920016)*1000000000000))</f>
        <v>0.012362010302435625</v>
      </c>
      <c r="T25" s="84">
        <f>IF(B25=0," ",((B25-AH12)))</f>
        <v>-92.62700000032783</v>
      </c>
      <c r="U25" s="85">
        <f>IF(B25=0," ",((AA25-AL12)))</f>
        <v>1047.5160000000033</v>
      </c>
      <c r="V25" s="86">
        <f>IF(B25=0," ",(SQRT(POWER(AL12-AA25,2)+POWER(AH12-B25,2))))</f>
        <v>1051.6033146510463</v>
      </c>
      <c r="W25" s="67">
        <f>IF(B25=0," ",((ATAN((AL12-AA25)/(AH12-B25)))*180/PI()))</f>
        <v>-84.94674214871392</v>
      </c>
      <c r="X25" s="87">
        <f t="shared" si="1"/>
        <v>95.05325785128608</v>
      </c>
      <c r="Y25" s="88">
        <f>IF(B25=0," ",((((AA25-500000)*(0.000001)*S51)+(POWER(S51,2))+(POWER((AA25-500000)*0.000001,2)))/3))</f>
        <v>0.00427282905933895</v>
      </c>
      <c r="Z25" s="88">
        <f t="shared" si="2"/>
        <v>0.9996528001762616</v>
      </c>
      <c r="AA25" s="70">
        <f t="shared" si="3"/>
        <v>435157.577</v>
      </c>
      <c r="AB25" s="87">
        <f t="shared" si="4"/>
        <v>-92.5910910973201</v>
      </c>
      <c r="AC25" s="87">
        <f t="shared" si="5"/>
        <v>1047.1099072792747</v>
      </c>
      <c r="AD25" s="72">
        <f>IF(B25=0," ",((I25/0.9996+N25)/L48))</f>
        <v>20.79128539868631</v>
      </c>
      <c r="AE25" s="72">
        <f>IF(B25=0," ",(((I25/0.9996+M25)/L48)))</f>
        <v>20.791283909163784</v>
      </c>
      <c r="AF25" s="72">
        <f>IF(B25=0," ",(((I25/0.9996+L25)/L48)))</f>
        <v>20.790890156266013</v>
      </c>
      <c r="AG25" s="73">
        <f>IF(B25=0," ",(I25/L48))</f>
        <v>20.686968855391648</v>
      </c>
      <c r="AH25" s="74">
        <f t="shared" si="6"/>
        <v>253.184</v>
      </c>
      <c r="AI25" s="70">
        <f>IF(B25=0," ",(AM12+AH25)/2)</f>
        <v>258.2375</v>
      </c>
      <c r="AJ25" s="75">
        <f>IF(B25=0,"",(V25-(AI25/B6)*V25)*Z25)</f>
        <v>1051.19563739249</v>
      </c>
      <c r="AK25" s="76">
        <f>IF(B25=0,"",((V25/Z25)*B6)/(B6-AI25))</f>
        <v>1052.0111500159921</v>
      </c>
      <c r="AL25" s="77">
        <f>IF(AJ16=0,AK25,AJ25)</f>
        <v>1051.19563739249</v>
      </c>
      <c r="AM25" s="78">
        <f>IF(B25=0," ",(AL12)+(AC25))</f>
        <v>435157.17090727924</v>
      </c>
      <c r="AN25" s="78">
        <f>IF(B25=0," ",(AH12)+(AB25))</f>
        <v>7700875.649908903</v>
      </c>
      <c r="AO25" s="79">
        <f t="shared" si="8"/>
        <v>253.184</v>
      </c>
      <c r="AQ25" s="1"/>
    </row>
    <row r="26" spans="1:43" ht="18" customHeight="1">
      <c r="A26" s="226" t="s">
        <v>88</v>
      </c>
      <c r="B26" s="208">
        <v>7700850.468</v>
      </c>
      <c r="C26" s="208">
        <v>435130.243</v>
      </c>
      <c r="D26" s="208">
        <v>263.124</v>
      </c>
      <c r="E26" s="210">
        <f t="shared" si="7"/>
        <v>1026.5586417103898</v>
      </c>
      <c r="F26" s="211">
        <f t="shared" si="7"/>
        <v>435129.8467317306</v>
      </c>
      <c r="G26" s="212">
        <f t="shared" si="7"/>
        <v>7700850.513746449</v>
      </c>
      <c r="H26" s="214">
        <f t="shared" si="7"/>
        <v>263.124</v>
      </c>
      <c r="I26" s="70">
        <f>IF(B26=0," ",(10000000-(D12+B26)/2))</f>
        <v>2299090.6454999996</v>
      </c>
      <c r="J26" s="55">
        <f>IF(B26=0," ",((500000-(AL12+AA26)/2)*0.000001))</f>
        <v>0.06537984799999999</v>
      </c>
      <c r="K26" s="55">
        <f t="shared" si="0"/>
        <v>0.0042745245245031024</v>
      </c>
      <c r="L26" s="55">
        <f>IF(B26=0," ",(ABS(-1*((SIN(2*AG26*PI()/180)*L49))+((SIN(4*AG26*PI()/180)*L50))+(((SIN(6*AG26*PI()/180)*AH46))*-1))))</f>
        <v>10629.501949576681</v>
      </c>
      <c r="M26" s="57">
        <f>IF(B26=0," ",(ABS(-1*((SIN(2*AF26*PI()/180)*L49))+((SIN(4*AF26*PI()/180)*L50))+(((SIN(6*AF26*PI()/180)*AH46))*-1))))</f>
        <v>10673.262330603293</v>
      </c>
      <c r="N26" s="57">
        <f>IF(B26=0," ",(ABS(-1*((SIN(2*AE26*PI()/180)*L49))+((SIN(4*AE26*PI()/180)*L50))+(((SIN(6*AE26*PI()/180)*AH46))*-1))))</f>
        <v>10673.427870578553</v>
      </c>
      <c r="O26" s="80">
        <f>IF(B26=0," ",(POWER(L51/(SQRT(ABS(POWER(SIN(AD26*PI()/180),2)*AH47-1))),2)))</f>
        <v>40718324554230.61</v>
      </c>
      <c r="P26" s="81">
        <f>IF(B26=0," ",(-1*(1/(O26*2*(SIN(0.0001/0.36)*PI()/180)/TAN(AD26*PI()/180))*(POWER(COS(AD26*PI()/180),2)*AH48+1)*(1/(0.99920016)*1000000000000*K26))))</f>
        <v>-4.138415935338034</v>
      </c>
      <c r="Q26" s="82">
        <f>IF(B26=0," ",(POWER(TAN(AD26*PI()/180),2)*3+5)+(AH48*6)*(POWER(COS(AD26*PI()/180),2))-(AH48*6)*(POWER(SIN(AD26*PI()/180),2)))</f>
        <v>5.462874849443667</v>
      </c>
      <c r="R26" s="62">
        <f>IF(B26=0," ",((Q26-(3*(POWER(AH48,2))*(POWER(POWER(COS(AD26*PI()/180),2),2)))-((POWER(AH48,2))*9)*(POWER(COS(AD26*PI()/180),2))*(POWER(SIN(AD26*PI()/180),2))))*1.001601601809*1E+24)</f>
        <v>5.471473582396946E+24</v>
      </c>
      <c r="S26" s="83">
        <f>IF(B26=0," ",(((POWER(COS((TAN(AD26*PI()/180)/(POWER(O26,2)*(24*L56))*POWER(K26,2)+P26/3600+AD26)*PI()/180),2))*AH48+1)/(O26*2)*(1/0.99920016)*1000000000000))</f>
        <v>0.012362010083992899</v>
      </c>
      <c r="T26" s="84">
        <f>IF(B26=0," ",((B26-AH12)))</f>
        <v>-117.7730000000447</v>
      </c>
      <c r="U26" s="85">
        <f>IF(B26=0," ",((AA26-AL12)))</f>
        <v>1020.1820000000298</v>
      </c>
      <c r="V26" s="86">
        <f>IF(B26=0," ",(SQRT(POWER(AL12-AA26,2)+POWER(AH12-B26,2))))</f>
        <v>1026.957541796676</v>
      </c>
      <c r="W26" s="67">
        <f>IF(B26=0," ",((ATAN((AL12-AA26)/(AH12-B26)))*180/PI()))</f>
        <v>-83.41474695576629</v>
      </c>
      <c r="X26" s="87">
        <f t="shared" si="1"/>
        <v>96.58525304423371</v>
      </c>
      <c r="Y26" s="88">
        <f>IF(B26=0," ",((((AA26-500000)*(0.000001)*S51)+(POWER(S51,2))+(POWER((AA26-500000)*0.000001,2)))/3))</f>
        <v>0.004274611255445864</v>
      </c>
      <c r="Z26" s="88">
        <f t="shared" si="2"/>
        <v>0.999652822198499</v>
      </c>
      <c r="AA26" s="70">
        <f t="shared" si="3"/>
        <v>435130.243</v>
      </c>
      <c r="AB26" s="87">
        <f t="shared" si="4"/>
        <v>-117.72725355196849</v>
      </c>
      <c r="AC26" s="87">
        <f t="shared" si="5"/>
        <v>1019.7857317306372</v>
      </c>
      <c r="AD26" s="72">
        <f>IF(B26=0," ",((I26/0.9996+N26)/L48))</f>
        <v>20.79139900482486</v>
      </c>
      <c r="AE26" s="72">
        <f>IF(B26=0," ",(((I26/0.9996+M26)/L48)))</f>
        <v>20.79139751530593</v>
      </c>
      <c r="AF26" s="72">
        <f>IF(B26=0," ",(((I26/0.9996+L26)/L48)))</f>
        <v>20.791003761979226</v>
      </c>
      <c r="AG26" s="73">
        <f>IF(B26=0," ",(I26/L48))</f>
        <v>20.687081986503863</v>
      </c>
      <c r="AH26" s="74">
        <f t="shared" si="6"/>
        <v>263.124</v>
      </c>
      <c r="AI26" s="70">
        <f>IF(B26=0," ",(AM12+AH26)/2)</f>
        <v>263.2075</v>
      </c>
      <c r="AJ26" s="75">
        <f>IF(B26=0,"",(V26-(AI26/B6)*V26)*Z26)</f>
        <v>1026.5586417103898</v>
      </c>
      <c r="AK26" s="76">
        <f>IF(B26=0,"",((V26/Z26)*B6)/(B6-AI26))</f>
        <v>1027.35659688753</v>
      </c>
      <c r="AL26" s="77">
        <f>IF(AJ16=0,AK26,AJ26)</f>
        <v>1026.5586417103898</v>
      </c>
      <c r="AM26" s="78">
        <f>IF(B26=0," ",(AL12)+(AC26))</f>
        <v>435129.8467317306</v>
      </c>
      <c r="AN26" s="78">
        <f>IF(B26=0," ",(AH12)+(AB26))</f>
        <v>7700850.513746449</v>
      </c>
      <c r="AO26" s="79">
        <f t="shared" si="8"/>
        <v>263.124</v>
      </c>
      <c r="AQ26" s="1"/>
    </row>
    <row r="27" spans="1:43" ht="18" customHeight="1">
      <c r="A27" s="226" t="s">
        <v>89</v>
      </c>
      <c r="B27" s="208">
        <v>7700829.719</v>
      </c>
      <c r="C27" s="208">
        <v>435271.805</v>
      </c>
      <c r="D27" s="208">
        <v>264.144</v>
      </c>
      <c r="E27" s="210">
        <f t="shared" si="7"/>
        <v>1169.518597350449</v>
      </c>
      <c r="F27" s="211">
        <f t="shared" si="7"/>
        <v>435271.35351966374</v>
      </c>
      <c r="G27" s="212">
        <f t="shared" si="7"/>
        <v>7700829.772832823</v>
      </c>
      <c r="H27" s="214">
        <f t="shared" si="7"/>
        <v>264.144</v>
      </c>
      <c r="I27" s="70">
        <f>IF(B27=0," ",(10000000-(D12+B27)/2))</f>
        <v>2299101.0199999996</v>
      </c>
      <c r="J27" s="55">
        <f>IF(B27=0," ",((500000-(AL12+AA27)/2)*0.000001))</f>
        <v>0.06530906700000004</v>
      </c>
      <c r="K27" s="55">
        <f t="shared" si="0"/>
        <v>0.004265274232410494</v>
      </c>
      <c r="L27" s="55">
        <f>IF(B27=0," ",(ABS(-1*((SIN(2*AG27*PI()/180)*L49))+((SIN(4*AG27*PI()/180)*L50))+(((SIN(6*AG27*PI()/180)*AH46))*-1))))</f>
        <v>10629.541320484894</v>
      </c>
      <c r="M27" s="57">
        <f>IF(B27=0," ",(ABS(-1*((SIN(2*AF27*PI()/180)*L49))+((SIN(4*AF27*PI()/180)*L50))+(((SIN(6*AF27*PI()/180)*AH46))*-1))))</f>
        <v>10673.30174084355</v>
      </c>
      <c r="N27" s="57">
        <f>IF(B27=0," ",(ABS(-1*((SIN(2*AE27*PI()/180)*L49))+((SIN(4*AE27*PI()/180)*L50))+(((SIN(6*AE27*PI()/180)*AH46))*-1))))</f>
        <v>10673.467280489833</v>
      </c>
      <c r="O27" s="80">
        <f>IF(B27=0," ",(POWER(L51/(SQRT(ABS(POWER(SIN(AD27*PI()/180),2)*AH47-1))),2)))</f>
        <v>40718324851726.42</v>
      </c>
      <c r="P27" s="81">
        <f>IF(B27=0," ",(-1*(1/(O27*2*(SIN(0.0001/0.36)*PI()/180)/TAN(AD27*PI()/180))*(POWER(COS(AD27*PI()/180),2)*AH48+1)*(1/(0.99920016)*1000000000000*K27))))</f>
        <v>-4.129480488004344</v>
      </c>
      <c r="Q27" s="82">
        <f>IF(B27=0," ",(POWER(TAN(AD27*PI()/180),2)*3+5)+(AH48*6)*(POWER(COS(AD27*PI()/180),2))-(AH48*6)*(POWER(SIN(AD27*PI()/180),2)))</f>
        <v>5.46287902588077</v>
      </c>
      <c r="R27" s="62">
        <f>IF(B27=0," ",((Q27-(3*(POWER(AH48,2))*(POWER(POWER(COS(AD27*PI()/180),2),2)))-((POWER(AH48,2))*9)*(POWER(COS(AD27*PI()/180),2))*(POWER(SIN(AD27*PI()/180),2))))*1.001601601809*1E+24)</f>
        <v>5.471477765448904E+24</v>
      </c>
      <c r="S27" s="83">
        <f>IF(B27=0," ",(((POWER(COS((TAN(AD27*PI()/180)/(POWER(O27,2)*(24*L56))*POWER(K27,2)+P27/3600+AD27)*PI()/180),2))*AH48+1)/(O27*2)*(1/0.99920016)*1000000000000))</f>
        <v>0.012362009900967247</v>
      </c>
      <c r="T27" s="84">
        <f>IF(B27=0," ",((B27-AH12)))</f>
        <v>-138.5220000008121</v>
      </c>
      <c r="U27" s="85">
        <f>IF(B27=0," ",((AA27-AL12)))</f>
        <v>1161.744000000006</v>
      </c>
      <c r="V27" s="86">
        <f>IF(B27=0," ",(SQRT(POWER(AL12-AA27,2)+POWER(AH12-B27,2))))</f>
        <v>1169.9732757718182</v>
      </c>
      <c r="W27" s="67">
        <f>IF(B27=0," ",((ATAN((AL12-AA27)/(AH12-B27)))*180/PI()))</f>
        <v>-83.20036883857205</v>
      </c>
      <c r="X27" s="87">
        <f t="shared" si="1"/>
        <v>96.79963116142795</v>
      </c>
      <c r="Y27" s="88">
        <f>IF(B27=0," ",((((AA27-500000)*(0.000001)*S51)+(POWER(S51,2))+(POWER((AA27-500000)*0.000001,2)))/3))</f>
        <v>0.004265386703170618</v>
      </c>
      <c r="Z27" s="88">
        <f t="shared" si="2"/>
        <v>0.9996527082069606</v>
      </c>
      <c r="AA27" s="70">
        <f t="shared" si="3"/>
        <v>435271.805</v>
      </c>
      <c r="AB27" s="87">
        <f t="shared" si="4"/>
        <v>-138.4681671777987</v>
      </c>
      <c r="AC27" s="87">
        <f t="shared" si="5"/>
        <v>1161.2925196637507</v>
      </c>
      <c r="AD27" s="72">
        <f>IF(B27=0," ",((I27/0.9996+N27)/L48))</f>
        <v>20.79149274592644</v>
      </c>
      <c r="AE27" s="72">
        <f>IF(B27=0," ",(((I27/0.9996+M27)/L48)))</f>
        <v>20.79149125641047</v>
      </c>
      <c r="AF27" s="72">
        <f>IF(B27=0," ",(((I27/0.9996+L27)/L48)))</f>
        <v>20.791097502729862</v>
      </c>
      <c r="AG27" s="73">
        <f>IF(B27=0," ",(I27/L48))</f>
        <v>20.687175335642788</v>
      </c>
      <c r="AH27" s="74">
        <f t="shared" si="6"/>
        <v>264.144</v>
      </c>
      <c r="AI27" s="70">
        <f>IF(B27=0," ",(AM12+AH27)/2)</f>
        <v>263.7175</v>
      </c>
      <c r="AJ27" s="75">
        <f>IF(B27=0,"",(V27-(AI27/B6)*V27)*Z27)</f>
        <v>1169.518597350449</v>
      </c>
      <c r="AK27" s="76">
        <f>IF(B27=0,"",((V27/Z27)*B6)/(B6-AI27))</f>
        <v>1170.4281309603352</v>
      </c>
      <c r="AL27" s="77">
        <f>IF(AJ16=0,AK27,AJ27)</f>
        <v>1169.518597350449</v>
      </c>
      <c r="AM27" s="78">
        <f>IF(B27=0," ",(AL12)+(AC27))</f>
        <v>435271.35351966374</v>
      </c>
      <c r="AN27" s="78">
        <f>IF(B27=0," ",(AH12)+(AB27))</f>
        <v>7700829.772832823</v>
      </c>
      <c r="AO27" s="79">
        <f t="shared" si="8"/>
        <v>264.144</v>
      </c>
      <c r="AQ27" s="1"/>
    </row>
    <row r="28" spans="1:43" ht="18" customHeight="1">
      <c r="A28" s="226" t="s">
        <v>90</v>
      </c>
      <c r="B28" s="208">
        <v>7700974.665</v>
      </c>
      <c r="C28" s="208">
        <v>434005.984</v>
      </c>
      <c r="D28" s="208">
        <v>263.216</v>
      </c>
      <c r="E28" s="210">
        <f t="shared" si="7"/>
        <v>104.23465830963181</v>
      </c>
      <c r="F28" s="211">
        <f t="shared" si="7"/>
        <v>434006.02433244797</v>
      </c>
      <c r="G28" s="212">
        <f t="shared" si="7"/>
        <v>7700974.6625105385</v>
      </c>
      <c r="H28" s="214">
        <f t="shared" si="7"/>
        <v>263.216</v>
      </c>
      <c r="I28" s="70">
        <f>IF(B28=0," ",(10000000-(D12+B28)/2))</f>
        <v>2299028.5470000003</v>
      </c>
      <c r="J28" s="55">
        <f>IF(B28=0," ",((500000-(AL12+AA28)/2)*0.000001))</f>
        <v>0.06594197750000004</v>
      </c>
      <c r="K28" s="55">
        <f t="shared" si="0"/>
        <v>0.0043483443966105114</v>
      </c>
      <c r="L28" s="55">
        <f>IF(B28=0," ",(ABS(-1*((SIN(2*AG28*PI()/180)*L49))+((SIN(4*AG28*PI()/180)*L50))+(((SIN(6*AG28*PI()/180)*AH46))*-1))))</f>
        <v>10629.266285331905</v>
      </c>
      <c r="M28" s="57">
        <f>IF(B28=0," ",(ABS(-1*((SIN(2*AF28*PI()/180)*L49))+((SIN(4*AF28*PI()/180)*L50))+(((SIN(6*AF28*PI()/180)*AH46))*-1))))</f>
        <v>10673.026430890844</v>
      </c>
      <c r="N28" s="57">
        <f>IF(B28=0," ",(ABS(-1*((SIN(2*AE28*PI()/180)*L49))+((SIN(4*AE28*PI()/180)*L50))+(((SIN(6*AE28*PI()/180)*AH46))*-1))))</f>
        <v>10673.191972835048</v>
      </c>
      <c r="O28" s="80">
        <f>IF(B28=0," ",(POWER(L51/(SQRT(ABS(POWER(SIN(AD28*PI()/180),2)*AH47-1))),2)))</f>
        <v>40718322773537.016</v>
      </c>
      <c r="P28" s="81">
        <f>IF(B28=0," ",(-1*(1/(O28*2*(SIN(0.0001/0.36)*PI()/180)/TAN(AD28*PI()/180))*(POWER(COS(AD28*PI()/180),2)*AH48+1)*(1/(0.99920016)*1000000000000*K28))))</f>
        <v>-4.209761381557291</v>
      </c>
      <c r="Q28" s="82">
        <f>IF(B28=0," ",(POWER(TAN(AD28*PI()/180),2)*3+5)+(AH48*6)*(POWER(COS(AD28*PI()/180),2))-(AH48*6)*(POWER(SIN(AD28*PI()/180),2)))</f>
        <v>5.462849851144922</v>
      </c>
      <c r="R28" s="62">
        <f>IF(B28=0," ",((Q28-(3*(POWER(AH48,2))*(POWER(POWER(COS(AD28*PI()/180),2),2)))-((POWER(AH48,2))*9)*(POWER(COS(AD28*PI()/180),2))*(POWER(SIN(AD28*PI()/180),2))))*1.001601601809*1E+24)</f>
        <v>5.471448544504629E+24</v>
      </c>
      <c r="S28" s="83">
        <f>IF(B28=0," ",(((POWER(COS((TAN(AD28*PI()/180)/(POWER(O28,2)*(24*L56))*POWER(K28,2)+P28/3600+AD28)*PI()/180),2))*AH48+1)/(O28*2)*(1/0.99920016)*1000000000000))</f>
        <v>0.012362011184292625</v>
      </c>
      <c r="T28" s="84">
        <f>IF(B28=0," ",((B28-AH12)))</f>
        <v>6.423999999649823</v>
      </c>
      <c r="U28" s="85">
        <f>IF(B28=0," ",((AA28-AL12)))</f>
        <v>-104.07699999999022</v>
      </c>
      <c r="V28" s="86">
        <f>IF(B28=0," ",(SQRT(POWER(AL12-AA28,2)+POWER(AH12-B28,2))))</f>
        <v>104.27506751373247</v>
      </c>
      <c r="W28" s="67">
        <f>IF(B28=0," ",((ATAN((AL12-AA28)/(AH12-B28)))*180/PI()))</f>
        <v>-86.46798301354237</v>
      </c>
      <c r="X28" s="87">
        <f t="shared" si="1"/>
        <v>273.5320169864576</v>
      </c>
      <c r="Y28" s="88">
        <f>IF(B28=0," ",((((AA28-500000)*(0.000001)*S51)+(POWER(S51,2))+(POWER((AA28-500000)*0.000001,2)))/3))</f>
        <v>0.004348345299279001</v>
      </c>
      <c r="Z28" s="88">
        <f t="shared" si="2"/>
        <v>0.9996537333587489</v>
      </c>
      <c r="AA28" s="70">
        <f t="shared" si="3"/>
        <v>434005.984</v>
      </c>
      <c r="AB28" s="87">
        <f t="shared" si="4"/>
        <v>6.421510538522452</v>
      </c>
      <c r="AC28" s="87">
        <f t="shared" si="5"/>
        <v>-104.03666755201908</v>
      </c>
      <c r="AD28" s="72">
        <f>IF(B28=0," ",((I28/0.9996+N28)/L48))</f>
        <v>20.79083789999868</v>
      </c>
      <c r="AE28" s="72">
        <f>IF(B28=0," ",(((I28/0.9996+M28)/L48)))</f>
        <v>20.790836410462035</v>
      </c>
      <c r="AF28" s="72">
        <f>IF(B28=0," ",(((I28/0.9996+L28)/L48)))</f>
        <v>20.790442659254055</v>
      </c>
      <c r="AG28" s="73">
        <f>IF(B28=0," ",(I28/L48))</f>
        <v>20.686523227864555</v>
      </c>
      <c r="AH28" s="74">
        <f t="shared" si="6"/>
        <v>263.216</v>
      </c>
      <c r="AI28" s="70">
        <f>IF(B28=0," ",(AM12+AH28)/2)</f>
        <v>263.25350000000003</v>
      </c>
      <c r="AJ28" s="75">
        <f>IF(B28=0,"",(V28-(AI28/B6)*V28)*Z28)</f>
        <v>104.23465830963181</v>
      </c>
      <c r="AK28" s="76">
        <f>IF(B28=0,"",((V28/Z28)*B6)/(B6-AI28))</f>
        <v>104.31549238348407</v>
      </c>
      <c r="AL28" s="77">
        <f>IF(AJ16=0,AK28,AJ28)</f>
        <v>104.23465830963181</v>
      </c>
      <c r="AM28" s="78">
        <f>IF(B28=0," ",(AL12)+(AC28))</f>
        <v>434006.02433244797</v>
      </c>
      <c r="AN28" s="78">
        <f>IF(B28=0," ",(AH12)+(AB28))</f>
        <v>7700974.6625105385</v>
      </c>
      <c r="AO28" s="79">
        <f t="shared" si="8"/>
        <v>263.216</v>
      </c>
      <c r="AQ28" s="1"/>
    </row>
    <row r="29" spans="1:43" ht="18" customHeight="1">
      <c r="A29" s="226"/>
      <c r="B29" s="208"/>
      <c r="C29" s="208"/>
      <c r="D29" s="208"/>
      <c r="E29" s="210">
        <f t="shared" si="7"/>
      </c>
      <c r="F29" s="211" t="str">
        <f t="shared" si="7"/>
        <v> </v>
      </c>
      <c r="G29" s="212" t="str">
        <f t="shared" si="7"/>
        <v> </v>
      </c>
      <c r="H29" s="214" t="str">
        <f t="shared" si="7"/>
        <v> </v>
      </c>
      <c r="I29" s="70" t="str">
        <f>IF(B29=0," ",(10000000-(D12+B29)/2))</f>
        <v> </v>
      </c>
      <c r="J29" s="55" t="str">
        <f>IF(B29=0," ",((500000-(AL12+AA29)/2)*0.000001))</f>
        <v> </v>
      </c>
      <c r="K29" s="55" t="str">
        <f t="shared" si="0"/>
        <v> </v>
      </c>
      <c r="L29" s="55" t="str">
        <f>IF(B29=0," ",(ABS(-1*((SIN(2*AG29*PI()/180)*L49))+((SIN(4*AG29*PI()/180)*L50))+(((SIN(6*AG29*PI()/180)*AH46))*-1))))</f>
        <v> </v>
      </c>
      <c r="M29" s="57" t="str">
        <f>IF(B29=0," ",(ABS(-1*((SIN(2*AF29*PI()/180)*L49))+((SIN(4*AF29*PI()/180)*L50))+(((SIN(6*AF29*PI()/180)*AH46))*-1))))</f>
        <v> </v>
      </c>
      <c r="N29" s="57" t="str">
        <f>IF(B29=0," ",(ABS(-1*((SIN(2*AE29*PI()/180)*L49))+((SIN(4*AE29*PI()/180)*L50))+(((SIN(6*AE29*PI()/180)*AH46))*-1))))</f>
        <v> </v>
      </c>
      <c r="O29" s="80" t="str">
        <f>IF(B29=0," ",(POWER(L51/(SQRT(ABS(POWER(SIN(AD29*PI()/180),2)*AH47-1))),2)))</f>
        <v> </v>
      </c>
      <c r="P29" s="81" t="str">
        <f>IF(B29=0," ",(-1*(1/(O29*2*(SIN(0.0001/0.36)*PI()/180)/TAN(AD29*PI()/180))*(POWER(COS(AD29*PI()/180),2)*AH48+1)*(1/(0.99920016)*1000000000000*K29))))</f>
        <v> </v>
      </c>
      <c r="Q29" s="82" t="str">
        <f>IF(B29=0," ",(POWER(TAN(AD29*PI()/180),2)*3+5)+(AH48*6)*(POWER(COS(AD29*PI()/180),2))-(AH48*6)*(POWER(SIN(AD29*PI()/180),2)))</f>
        <v> </v>
      </c>
      <c r="R29" s="62" t="str">
        <f>IF(B29=0," ",((Q29-(3*(POWER(AH48,2))*(POWER(POWER(COS(AD29*PI()/180),2),2)))-((POWER(AH48,2))*9)*(POWER(COS(AD29*PI()/180),2))*(POWER(SIN(AD29*PI()/180),2))))*1.001601601809*1E+24)</f>
        <v> </v>
      </c>
      <c r="S29" s="83" t="str">
        <f>IF(B29=0," ",(((POWER(COS((TAN(AD29*PI()/180)/(POWER(O29,2)*(24*L56))*POWER(K29,2)+P29/3600+AD29)*PI()/180),2))*AH48+1)/(O29*2)*(1/0.99920016)*1000000000000))</f>
        <v> </v>
      </c>
      <c r="T29" s="84" t="str">
        <f>IF(B29=0," ",((B29-AH12)))</f>
        <v> </v>
      </c>
      <c r="U29" s="85" t="str">
        <f>IF(B29=0," ",((AA29-AL12)))</f>
        <v> </v>
      </c>
      <c r="V29" s="86" t="str">
        <f>IF(B29=0," ",(SQRT(POWER(AL12-AA29,2)+POWER(AH12-B29,2))))</f>
        <v> </v>
      </c>
      <c r="W29" s="67" t="str">
        <f>IF(B29=0," ",((ATAN((AL12-AA29)/(AH12-B29)))*180/PI()))</f>
        <v> </v>
      </c>
      <c r="X29" s="87" t="str">
        <f t="shared" si="1"/>
        <v> </v>
      </c>
      <c r="Y29" s="88" t="str">
        <f>IF(B29=0," ",((((AA29-500000)*(0.000001)*S51)+(POWER(S51,2))+(POWER((AA29-500000)*0.000001,2)))/3))</f>
        <v> </v>
      </c>
      <c r="Z29" s="88" t="str">
        <f t="shared" si="2"/>
        <v> </v>
      </c>
      <c r="AA29" s="70" t="str">
        <f t="shared" si="3"/>
        <v> </v>
      </c>
      <c r="AB29" s="87" t="str">
        <f t="shared" si="4"/>
        <v> </v>
      </c>
      <c r="AC29" s="87" t="str">
        <f t="shared" si="5"/>
        <v> </v>
      </c>
      <c r="AD29" s="72" t="str">
        <f>IF(B29=0," ",((I29/0.9996+N29)/L48))</f>
        <v> </v>
      </c>
      <c r="AE29" s="72" t="str">
        <f>IF(B29=0," ",(((I29/0.9996+M29)/L48)))</f>
        <v> </v>
      </c>
      <c r="AF29" s="72" t="str">
        <f>IF(B29=0," ",(((I29/0.9996+L29)/L48)))</f>
        <v> </v>
      </c>
      <c r="AG29" s="73" t="str">
        <f>IF(B29=0," ",(I29/L48))</f>
        <v> </v>
      </c>
      <c r="AH29" s="74" t="str">
        <f t="shared" si="6"/>
        <v> </v>
      </c>
      <c r="AI29" s="70" t="str">
        <f>IF(B29=0," ",(AM12+AH29)/2)</f>
        <v> </v>
      </c>
      <c r="AJ29" s="75">
        <f>IF(B29=0,"",(V29-(AI29/B6)*V29)*Z29)</f>
      </c>
      <c r="AK29" s="76">
        <f>IF(B29=0,"",((V29/Z29)*B6)/(B6-AI29))</f>
      </c>
      <c r="AL29" s="77">
        <f>IF(AJ16=0,AK29,AJ29)</f>
      </c>
      <c r="AM29" s="78" t="str">
        <f>IF(B29=0," ",(AL12)+(AC29))</f>
        <v> </v>
      </c>
      <c r="AN29" s="78" t="str">
        <f>IF(B29=0," ",(AH12)+(AB29))</f>
        <v> </v>
      </c>
      <c r="AO29" s="79" t="str">
        <f t="shared" si="8"/>
        <v> </v>
      </c>
      <c r="AQ29" s="1"/>
    </row>
    <row r="30" spans="1:43" ht="18" customHeight="1">
      <c r="A30" s="226"/>
      <c r="B30" s="208"/>
      <c r="C30" s="208"/>
      <c r="D30" s="208"/>
      <c r="E30" s="210">
        <f t="shared" si="7"/>
      </c>
      <c r="F30" s="211" t="str">
        <f t="shared" si="7"/>
        <v> </v>
      </c>
      <c r="G30" s="212" t="str">
        <f t="shared" si="7"/>
        <v> </v>
      </c>
      <c r="H30" s="214" t="str">
        <f t="shared" si="7"/>
        <v> </v>
      </c>
      <c r="I30" s="70" t="str">
        <f>IF(B30=0," ",(10000000-(D12+B30)/2))</f>
        <v> </v>
      </c>
      <c r="J30" s="55" t="str">
        <f>IF(B30=0," ",((500000-(AL12+AA30)/2)*0.000001))</f>
        <v> </v>
      </c>
      <c r="K30" s="55" t="str">
        <f t="shared" si="0"/>
        <v> </v>
      </c>
      <c r="L30" s="55" t="str">
        <f>IF(B30=0," ",(ABS(-1*((SIN(2*AG30*PI()/180)*L49))+((SIN(4*AG30*PI()/180)*L50))+(((SIN(6*AG30*PI()/180)*AH46))*-1))))</f>
        <v> </v>
      </c>
      <c r="M30" s="57" t="str">
        <f>IF(B30=0," ",(ABS(-1*((SIN(2*AF30*PI()/180)*L49))+((SIN(4*AF30*PI()/180)*L50))+(((SIN(6*AF30*PI()/180)*AH46))*-1))))</f>
        <v> </v>
      </c>
      <c r="N30" s="57" t="str">
        <f>IF(B30=0," ",(ABS(-1*((SIN(2*AE30*PI()/180)*L49))+((SIN(4*AE30*PI()/180)*L50))+(((SIN(6*AE30*PI()/180)*AH46))*-1))))</f>
        <v> </v>
      </c>
      <c r="O30" s="80" t="str">
        <f>IF(B30=0," ",(POWER(L51/(SQRT(ABS(POWER(SIN(AD30*PI()/180),2)*AH47-1))),2)))</f>
        <v> </v>
      </c>
      <c r="P30" s="81" t="str">
        <f>IF(B30=0," ",(-1*(1/(O30*2*(SIN(0.0001/0.36)*PI()/180)/TAN(AD30*PI()/180))*(POWER(COS(AD30*PI()/180),2)*AH48+1)*(1/(0.99920016)*1000000000000*K30))))</f>
        <v> </v>
      </c>
      <c r="Q30" s="82" t="str">
        <f>IF(B30=0," ",(POWER(TAN(AD30*PI()/180),2)*3+5)+(AH48*6)*(POWER(COS(AD30*PI()/180),2))-(AH48*6)*(POWER(SIN(AD30*PI()/180),2)))</f>
        <v> </v>
      </c>
      <c r="R30" s="62" t="str">
        <f>IF(B30=0," ",((Q30-(3*(POWER(AH48,2))*(POWER(POWER(COS(AD30*PI()/180),2),2)))-((POWER(AH48,2))*9)*(POWER(COS(AD30*PI()/180),2))*(POWER(SIN(AD30*PI()/180),2))))*1.001601601809*1E+24)</f>
        <v> </v>
      </c>
      <c r="S30" s="83" t="str">
        <f>IF(B30=0," ",(((POWER(COS((TAN(AD30*PI()/180)/(POWER(O30,2)*(24*L56))*POWER(K30,2)+P30/3600+AD30)*PI()/180),2))*AH48+1)/(O30*2)*(1/0.99920016)*1000000000000))</f>
        <v> </v>
      </c>
      <c r="T30" s="84" t="str">
        <f>IF(B30=0," ",((B30-AH12)))</f>
        <v> </v>
      </c>
      <c r="U30" s="85" t="str">
        <f>IF(B30=0," ",((AA30-AL12)))</f>
        <v> </v>
      </c>
      <c r="V30" s="86" t="str">
        <f>IF(B30=0," ",(SQRT(POWER(AL12-AA30,2)+POWER(AH12-B30,2))))</f>
        <v> </v>
      </c>
      <c r="W30" s="67" t="str">
        <f>IF(B30=0," ",((ATAN((AL12-AA30)/(AH12-B30)))*180/PI()))</f>
        <v> </v>
      </c>
      <c r="X30" s="87" t="str">
        <f t="shared" si="1"/>
        <v> </v>
      </c>
      <c r="Y30" s="88" t="str">
        <f>IF(B30=0," ",((((AA30-500000)*(0.000001)*S51)+(POWER(S51,2))+(POWER((AA30-500000)*0.000001,2)))/3))</f>
        <v> </v>
      </c>
      <c r="Z30" s="88" t="str">
        <f t="shared" si="2"/>
        <v> </v>
      </c>
      <c r="AA30" s="70" t="str">
        <f t="shared" si="3"/>
        <v> </v>
      </c>
      <c r="AB30" s="87" t="str">
        <f t="shared" si="4"/>
        <v> </v>
      </c>
      <c r="AC30" s="87" t="str">
        <f t="shared" si="5"/>
        <v> </v>
      </c>
      <c r="AD30" s="72" t="str">
        <f>IF(B30=0," ",((I30/0.9996+N30)/L48))</f>
        <v> </v>
      </c>
      <c r="AE30" s="72" t="str">
        <f>IF(B30=0," ",(((I30/0.9996+M30)/L48)))</f>
        <v> </v>
      </c>
      <c r="AF30" s="72" t="str">
        <f>IF(B30=0," ",(((I30/0.9996+L30)/L48)))</f>
        <v> </v>
      </c>
      <c r="AG30" s="73" t="str">
        <f>IF(B30=0," ",(I30/L48))</f>
        <v> </v>
      </c>
      <c r="AH30" s="74" t="str">
        <f t="shared" si="6"/>
        <v> </v>
      </c>
      <c r="AI30" s="70" t="str">
        <f>IF(B30=0," ",(AM12+AH30)/2)</f>
        <v> </v>
      </c>
      <c r="AJ30" s="75">
        <f>IF(B30=0,"",(V30-(AI30/B6)*V30)*Z30)</f>
      </c>
      <c r="AK30" s="76">
        <f>IF(B30=0,"",((V30/Z30)*B6)/(B6-AI30))</f>
      </c>
      <c r="AL30" s="77">
        <f>IF(AJ16=0,AK30,AJ30)</f>
      </c>
      <c r="AM30" s="78" t="str">
        <f>IF(B30=0," ",(AL12)+(AC30))</f>
        <v> </v>
      </c>
      <c r="AN30" s="78" t="str">
        <f>IF(B30=0," ",(AH12)+(AB30))</f>
        <v> </v>
      </c>
      <c r="AO30" s="79" t="str">
        <f t="shared" si="8"/>
        <v> </v>
      </c>
      <c r="AQ30" s="1"/>
    </row>
    <row r="31" spans="1:43" ht="18" customHeight="1">
      <c r="A31" s="226"/>
      <c r="B31" s="208"/>
      <c r="C31" s="208"/>
      <c r="D31" s="208"/>
      <c r="E31" s="210">
        <f t="shared" si="7"/>
      </c>
      <c r="F31" s="211" t="str">
        <f t="shared" si="7"/>
        <v> </v>
      </c>
      <c r="G31" s="212" t="str">
        <f t="shared" si="7"/>
        <v> </v>
      </c>
      <c r="H31" s="214" t="str">
        <f t="shared" si="7"/>
        <v> </v>
      </c>
      <c r="I31" s="70" t="str">
        <f>IF(B31=0," ",(10000000-(D12+B31)/2))</f>
        <v> </v>
      </c>
      <c r="J31" s="55" t="str">
        <f>IF(B31=0," ",((500000-(AL12+AA31)/2)*0.000001))</f>
        <v> </v>
      </c>
      <c r="K31" s="55" t="str">
        <f t="shared" si="0"/>
        <v> </v>
      </c>
      <c r="L31" s="55" t="str">
        <f>IF(B31=0," ",(ABS(-1*((SIN(2*AG31*PI()/180)*L49))+((SIN(4*AG31*PI()/180)*L50))+(((SIN(6*AG31*PI()/180)*AH46))*-1))))</f>
        <v> </v>
      </c>
      <c r="M31" s="57" t="str">
        <f>IF(B31=0," ",(ABS(-1*((SIN(2*AF31*PI()/180)*L49))+((SIN(4*AF31*PI()/180)*L50))+(((SIN(6*AF31*PI()/180)*AH46))*-1))))</f>
        <v> </v>
      </c>
      <c r="N31" s="57" t="str">
        <f>IF(B31=0," ",(ABS(-1*((SIN(2*AE31*PI()/180)*L49))+((SIN(4*AE31*PI()/180)*L50))+(((SIN(6*AE31*PI()/180)*AH46))*-1))))</f>
        <v> </v>
      </c>
      <c r="O31" s="80" t="str">
        <f>IF(B31=0," ",(POWER(L51/(SQRT(ABS(POWER(SIN(AD31*PI()/180),2)*AH47-1))),2)))</f>
        <v> </v>
      </c>
      <c r="P31" s="81" t="str">
        <f>IF(B31=0," ",(-1*(1/(O31*2*(SIN(0.0001/0.36)*PI()/180)/TAN(AD31*PI()/180))*(POWER(COS(AD31*PI()/180),2)*AH48+1)*(1/(0.99920016)*1000000000000*K31))))</f>
        <v> </v>
      </c>
      <c r="Q31" s="82" t="str">
        <f>IF(B31=0," ",(POWER(TAN(AD31*PI()/180),2)*3+5)+(AH48*6)*(POWER(COS(AD31*PI()/180),2))-(AH48*6)*(POWER(SIN(AD31*PI()/180),2)))</f>
        <v> </v>
      </c>
      <c r="R31" s="62" t="str">
        <f>IF(B31=0," ",((Q31-(3*(POWER(AH48,2))*(POWER(POWER(COS(AD31*PI()/180),2),2)))-((POWER(AH48,2))*9)*(POWER(COS(AD31*PI()/180),2))*(POWER(SIN(AD31*PI()/180),2))))*1.001601601809*1E+24)</f>
        <v> </v>
      </c>
      <c r="S31" s="83" t="str">
        <f>IF(B31=0," ",(((POWER(COS((TAN(AD31*PI()/180)/(POWER(O31,2)*(24*L56))*POWER(K31,2)+P31/3600+AD31)*PI()/180),2))*AH48+1)/(O31*2)*(1/0.99920016)*1000000000000))</f>
        <v> </v>
      </c>
      <c r="T31" s="84" t="str">
        <f>IF(B31=0," ",((B31-AH12)))</f>
        <v> </v>
      </c>
      <c r="U31" s="85" t="str">
        <f>IF(B31=0," ",((AA31-AL12)))</f>
        <v> </v>
      </c>
      <c r="V31" s="86" t="str">
        <f>IF(B31=0," ",(SQRT(POWER(AL12-AA31,2)+POWER(AH12-B31,2))))</f>
        <v> </v>
      </c>
      <c r="W31" s="67" t="str">
        <f>IF(B31=0," ",((ATAN((AL12-AA31)/(AH12-B31)))*180/PI()))</f>
        <v> </v>
      </c>
      <c r="X31" s="87" t="str">
        <f t="shared" si="1"/>
        <v> </v>
      </c>
      <c r="Y31" s="88" t="str">
        <f>IF(B31=0," ",((((AA31-500000)*(0.000001)*S51)+(POWER(S51,2))+(POWER((AA31-500000)*0.000001,2)))/3))</f>
        <v> </v>
      </c>
      <c r="Z31" s="88" t="str">
        <f t="shared" si="2"/>
        <v> </v>
      </c>
      <c r="AA31" s="70" t="str">
        <f t="shared" si="3"/>
        <v> </v>
      </c>
      <c r="AB31" s="87" t="str">
        <f t="shared" si="4"/>
        <v> </v>
      </c>
      <c r="AC31" s="87" t="str">
        <f t="shared" si="5"/>
        <v> </v>
      </c>
      <c r="AD31" s="72" t="str">
        <f>IF(B31=0," ",((I31/0.9996+N31)/L48))</f>
        <v> </v>
      </c>
      <c r="AE31" s="72" t="str">
        <f>IF(B31=0," ",(((I31/0.9996+M31)/L48)))</f>
        <v> </v>
      </c>
      <c r="AF31" s="72" t="str">
        <f>IF(B31=0," ",(((I31/0.9996+L31)/L48)))</f>
        <v> </v>
      </c>
      <c r="AG31" s="73" t="str">
        <f>IF(B31=0," ",(I31/L48))</f>
        <v> </v>
      </c>
      <c r="AH31" s="74" t="str">
        <f t="shared" si="6"/>
        <v> </v>
      </c>
      <c r="AI31" s="70" t="str">
        <f>IF(B31=0," ",(AM12+AH31)/2)</f>
        <v> </v>
      </c>
      <c r="AJ31" s="75">
        <f>IF(B31=0,"",(V31-(AI31/B6)*V31)*Z31)</f>
      </c>
      <c r="AK31" s="76">
        <f>IF(B31=0,"",((V31/Z31)*B6)/(B6-AI31))</f>
      </c>
      <c r="AL31" s="77">
        <f>IF(AJ16=0,AK31,AJ31)</f>
      </c>
      <c r="AM31" s="78" t="str">
        <f>IF(B31=0," ",(AL12)+(AC31))</f>
        <v> </v>
      </c>
      <c r="AN31" s="78" t="str">
        <f>IF(B31=0," ",(AH12)+(AB31))</f>
        <v> </v>
      </c>
      <c r="AO31" s="79" t="str">
        <f t="shared" si="8"/>
        <v> </v>
      </c>
      <c r="AQ31" s="1"/>
    </row>
    <row r="32" spans="1:43" ht="18" customHeight="1">
      <c r="A32" s="226"/>
      <c r="B32" s="208"/>
      <c r="C32" s="208"/>
      <c r="D32" s="208"/>
      <c r="E32" s="210">
        <f t="shared" si="7"/>
      </c>
      <c r="F32" s="211" t="str">
        <f t="shared" si="7"/>
        <v> </v>
      </c>
      <c r="G32" s="212" t="str">
        <f t="shared" si="7"/>
        <v> </v>
      </c>
      <c r="H32" s="214" t="str">
        <f t="shared" si="7"/>
        <v> </v>
      </c>
      <c r="I32" s="70" t="str">
        <f>IF(B32=0," ",(10000000-(D12+B32)/2))</f>
        <v> </v>
      </c>
      <c r="J32" s="55" t="str">
        <f>IF(B32=0," ",((500000-(AL12+AA32)/2)*0.000001))</f>
        <v> </v>
      </c>
      <c r="K32" s="55" t="str">
        <f t="shared" si="0"/>
        <v> </v>
      </c>
      <c r="L32" s="55" t="str">
        <f>IF(B32=0,"  ",(ABS(-1*((SIN(2*AG32*PI()/180)*L49))+((SIN(4*AG32*PI()/180)*L50))+(((SIN(6*AG32*PI()/180)*AH46))*-1))))</f>
        <v>  </v>
      </c>
      <c r="M32" s="57" t="str">
        <f>IF(B32=0," ",(ABS(-1*((SIN(2*AF32*PI()/180)*L49))+((SIN(4*AF32*PI()/180)*L50))+(((SIN(6*AF32*PI()/180)*AH46))*-1))))</f>
        <v> </v>
      </c>
      <c r="N32" s="57" t="str">
        <f>IF(B32=0," ",(ABS(-1*((SIN(2*AE32*PI()/180)*L49))+((SIN(4*AE32*PI()/180)*L50))+(((SIN(6*AE32*PI()/180)*AH46))*-1))))</f>
        <v> </v>
      </c>
      <c r="O32" s="80" t="str">
        <f>IF(B32=0," ",(POWER(L51/(SQRT(ABS(POWER(SIN(AD32*PI()/180),2)*AH47-1))),2)))</f>
        <v> </v>
      </c>
      <c r="P32" s="81" t="str">
        <f>IF(B32=0," ",(-1*(1/(O32*2*(SIN(0.0001/0.36)*PI()/180)/TAN(AD32*PI()/180))*(POWER(COS(AD32*PI()/180),2)*AH48+1)*(1/(0.99920016)*1000000000000*K32))))</f>
        <v> </v>
      </c>
      <c r="Q32" s="82" t="str">
        <f>IF(B32=0," ",(POWER(TAN(AD32*PI()/180),2)*3+5)+(AH48*6)*(POWER(COS(AD32*PI()/180),2))-(AH48*6)*(POWER(SIN(AD32*PI()/180),2)))</f>
        <v> </v>
      </c>
      <c r="R32" s="62" t="str">
        <f>IF(B32=0," ",((Q32-(3*(POWER(AH48,2))*(POWER(POWER(COS(AD32*PI()/180),2),2)))-((POWER(AH48,2))*9)*(POWER(COS(AD32*PI()/180),2))*(POWER(SIN(AD32*PI()/180),2))))*1.001601601809*1E+24)</f>
        <v> </v>
      </c>
      <c r="S32" s="83" t="str">
        <f>IF(B32=0," ",(((POWER(COS((TAN(AD32*PI()/180)/(POWER(O32,2)*(24*L56))*POWER(K32,2)+P32/3600+AD32)*PI()/180),2))*AH48+1)/(O32*2)*(1/0.99920016)*1000000000000))</f>
        <v> </v>
      </c>
      <c r="T32" s="84" t="str">
        <f>IF(B32=0," ",((B32-AH12)))</f>
        <v> </v>
      </c>
      <c r="U32" s="85" t="str">
        <f>IF(B32=0," ",((AA32-AL12)))</f>
        <v> </v>
      </c>
      <c r="V32" s="86" t="str">
        <f>IF(B32=0," ",(SQRT(POWER(AL12-AA32,2)+POWER(AH12-B32,2))))</f>
        <v> </v>
      </c>
      <c r="W32" s="67" t="str">
        <f>IF(B32=0," ",((ATAN((AL12-AA32)/(AH12-B32)))*180/PI()))</f>
        <v> </v>
      </c>
      <c r="X32" s="87" t="str">
        <f t="shared" si="1"/>
        <v> </v>
      </c>
      <c r="Y32" s="88" t="str">
        <f>IF(B32=0," ",((((AA32-500000)*(0.000001)*S51)+(POWER(S51,2))+(POWER((AA32-500000)*0.000001,2)))/3))</f>
        <v> </v>
      </c>
      <c r="Z32" s="88" t="str">
        <f t="shared" si="2"/>
        <v> </v>
      </c>
      <c r="AA32" s="70" t="str">
        <f t="shared" si="3"/>
        <v> </v>
      </c>
      <c r="AB32" s="87" t="str">
        <f t="shared" si="4"/>
        <v> </v>
      </c>
      <c r="AC32" s="87" t="str">
        <f t="shared" si="5"/>
        <v> </v>
      </c>
      <c r="AD32" s="72" t="str">
        <f>IF(B32=0," ",((I32/0.9996+N32)/L48))</f>
        <v> </v>
      </c>
      <c r="AE32" s="72" t="str">
        <f>IF(B32=0," ",(((I32/0.9996+M32)/L48)))</f>
        <v> </v>
      </c>
      <c r="AF32" s="72" t="str">
        <f>IF(B32=0," ",(((I32/0.9996+L32)/L48)))</f>
        <v> </v>
      </c>
      <c r="AG32" s="73" t="str">
        <f>IF(B32=0," ",(I32/L48))</f>
        <v> </v>
      </c>
      <c r="AH32" s="74" t="str">
        <f t="shared" si="6"/>
        <v> </v>
      </c>
      <c r="AI32" s="70" t="str">
        <f>IF(B32=0," ",(AM12+AH32)/2)</f>
        <v> </v>
      </c>
      <c r="AJ32" s="75">
        <f>IF(B32=0,"",(V32-(AI32/B6)*V32)*Z32)</f>
      </c>
      <c r="AK32" s="76">
        <f>IF(B32=0,"",((V32/Z32)*B6)/(B6-AI32))</f>
      </c>
      <c r="AL32" s="77">
        <f>IF(AJ16=0,AK32,AJ32)</f>
      </c>
      <c r="AM32" s="78" t="str">
        <f>IF(B32=0," ",(AL12)+(AC32))</f>
        <v> </v>
      </c>
      <c r="AN32" s="78" t="str">
        <f>IF(B32=0," ",(AH12)+(AB32))</f>
        <v> </v>
      </c>
      <c r="AO32" s="79" t="str">
        <f t="shared" si="8"/>
        <v> </v>
      </c>
      <c r="AQ32" s="1"/>
    </row>
    <row r="33" spans="1:43" ht="18" customHeight="1">
      <c r="A33" s="226"/>
      <c r="B33" s="208"/>
      <c r="C33" s="208"/>
      <c r="D33" s="208"/>
      <c r="E33" s="210">
        <f t="shared" si="7"/>
      </c>
      <c r="F33" s="211" t="str">
        <f t="shared" si="7"/>
        <v> </v>
      </c>
      <c r="G33" s="212" t="str">
        <f t="shared" si="7"/>
        <v> </v>
      </c>
      <c r="H33" s="214" t="str">
        <f t="shared" si="7"/>
        <v> </v>
      </c>
      <c r="I33" s="70" t="str">
        <f>IF(B33=0," ",(10000000-(D12+B33)/2))</f>
        <v> </v>
      </c>
      <c r="J33" s="55" t="str">
        <f>IF(B33=0," ",((500000-(AL12+AA33)/2)*0.000001))</f>
        <v> </v>
      </c>
      <c r="K33" s="55" t="str">
        <f t="shared" si="0"/>
        <v> </v>
      </c>
      <c r="L33" s="55" t="str">
        <f>IF(B33=0," ",(ABS(-1*((SIN(2*AG33*PI()/180)*L49))+((SIN(4*AG33*PI()/180)*L50))+(((SIN(6*AG33*PI()/180)*AH46))*-1))))</f>
        <v> </v>
      </c>
      <c r="M33" s="57" t="str">
        <f>IF(B33=0," ",(ABS(-1*((SIN(2*AF33*PI()/180)*L49))+((SIN(4*AF33*PI()/180)*L50))+(((SIN(6*AF33*PI()/180)*AH46))*-1))))</f>
        <v> </v>
      </c>
      <c r="N33" s="57" t="str">
        <f>IF(B33=0," ",(ABS(-1*((SIN(2*AE33*PI()/180)*L49))+((SIN(4*AE33*PI()/180)*L50))+(((SIN(6*AE33*PI()/180)*AH46))*-1))))</f>
        <v> </v>
      </c>
      <c r="O33" s="80" t="str">
        <f>IF(B33=0," ",(POWER(L51/(SQRT(ABS(POWER(SIN(AD33*PI()/180),2)*AH47-1))),2)))</f>
        <v> </v>
      </c>
      <c r="P33" s="81" t="str">
        <f>IF(B33=0," ",(-1*(1/(O33*2*(SIN(0.0001/0.36)*PI()/180)/TAN(AD33*PI()/180))*(POWER(COS(AD33*PI()/180),2)*AH48+1)*(1/(0.99920016)*1000000000000*K33))))</f>
        <v> </v>
      </c>
      <c r="Q33" s="82" t="str">
        <f>IF(B33=0," ",(POWER(TAN(AD33*PI()/180),2)*3+5)+(AH48*6)*(POWER(COS(AD33*PI()/180),2))-(AH48*6)*(POWER(SIN(AD33*PI()/180),2)))</f>
        <v> </v>
      </c>
      <c r="R33" s="62" t="str">
        <f>IF(B33=0," ",((Q33-(3*(POWER(AH48,2))*(POWER(POWER(COS(AD33*PI()/180),2),2)))-((POWER(AH48,2))*9)*(POWER(COS(AD33*PI()/180),2))*(POWER(SIN(AD33*PI()/180),2))))*1.001601601809*1E+24)</f>
        <v> </v>
      </c>
      <c r="S33" s="83" t="str">
        <f>IF(B33=0," ",(((POWER(COS((TAN(AD33*PI()/180)/(POWER(O33,2)*(24*L56))*POWER(K33,2)+P33/3600+AD33)*PI()/180),2))*AH48+1)/(O33*2)*(1/0.99920016)*1000000000000))</f>
        <v> </v>
      </c>
      <c r="T33" s="84" t="str">
        <f>IF(B33=0," ",((B33-AH12)))</f>
        <v> </v>
      </c>
      <c r="U33" s="85" t="str">
        <f>IF(B33=0," ",((AA33-AL12)))</f>
        <v> </v>
      </c>
      <c r="V33" s="86" t="str">
        <f>IF(B33=0," ",(SQRT(POWER(AL12-AA33,2)+POWER(AH12-B33,2))))</f>
        <v> </v>
      </c>
      <c r="W33" s="67" t="str">
        <f>IF(B33=0," ",((ATAN((AL12-AA33)/(AH12-B33)))*180/PI()))</f>
        <v> </v>
      </c>
      <c r="X33" s="87" t="str">
        <f t="shared" si="1"/>
        <v> </v>
      </c>
      <c r="Y33" s="88" t="str">
        <f>IF(B33=0," ",((((AA33-500000)*(0.000001)*S51)+(POWER(S51,2))+(POWER((AA33-500000)*0.000001,2)))/3))</f>
        <v> </v>
      </c>
      <c r="Z33" s="88" t="str">
        <f t="shared" si="2"/>
        <v> </v>
      </c>
      <c r="AA33" s="70" t="str">
        <f t="shared" si="3"/>
        <v> </v>
      </c>
      <c r="AB33" s="87" t="str">
        <f t="shared" si="4"/>
        <v> </v>
      </c>
      <c r="AC33" s="87" t="str">
        <f t="shared" si="5"/>
        <v> </v>
      </c>
      <c r="AD33" s="72" t="str">
        <f>IF(B33=0," ",((I33/0.9996+N33)/L48))</f>
        <v> </v>
      </c>
      <c r="AE33" s="72" t="str">
        <f>IF(B33=0," ",(((I33/0.9996+M33)/L48)))</f>
        <v> </v>
      </c>
      <c r="AF33" s="72" t="str">
        <f>IF(B33=0," ",(((I33/0.9996+L33)/L48)))</f>
        <v> </v>
      </c>
      <c r="AG33" s="73" t="str">
        <f>IF(B33=0," ",(I33/L48))</f>
        <v> </v>
      </c>
      <c r="AH33" s="74" t="str">
        <f t="shared" si="6"/>
        <v> </v>
      </c>
      <c r="AI33" s="70" t="str">
        <f>IF(B33=0," ",(AM12+AH33)/2)</f>
        <v> </v>
      </c>
      <c r="AJ33" s="75">
        <f>IF(B33=0,"",(V33-(AI33/B6)*V33)*Z33)</f>
      </c>
      <c r="AK33" s="76">
        <f>IF(B33=0,"",((V33/Z33)*B6)/(B6-AI33))</f>
      </c>
      <c r="AL33" s="77">
        <f>IF(AJ16=0,AK33,AJ33)</f>
      </c>
      <c r="AM33" s="78" t="str">
        <f>IF(B33=0," ",(AL12)+(AC33))</f>
        <v> </v>
      </c>
      <c r="AN33" s="78" t="str">
        <f>IF(B33=0," ",(AH12)+(AB33))</f>
        <v> </v>
      </c>
      <c r="AO33" s="79" t="str">
        <f t="shared" si="8"/>
        <v> </v>
      </c>
      <c r="AQ33" s="1"/>
    </row>
    <row r="34" spans="1:43" ht="18" customHeight="1">
      <c r="A34" s="226"/>
      <c r="B34" s="208"/>
      <c r="C34" s="208"/>
      <c r="D34" s="208"/>
      <c r="E34" s="210">
        <f t="shared" si="7"/>
      </c>
      <c r="F34" s="211" t="str">
        <f t="shared" si="7"/>
        <v> </v>
      </c>
      <c r="G34" s="212" t="str">
        <f t="shared" si="7"/>
        <v> </v>
      </c>
      <c r="H34" s="214" t="str">
        <f t="shared" si="7"/>
        <v> </v>
      </c>
      <c r="I34" s="70" t="str">
        <f>IF(B34=0," ",(10000000-(D12+B34)/2))</f>
        <v> </v>
      </c>
      <c r="J34" s="55" t="str">
        <f>IF(B34=0," ",((500000-(AL12+AA34)/2)*0.000001))</f>
        <v> </v>
      </c>
      <c r="K34" s="55" t="str">
        <f t="shared" si="0"/>
        <v> </v>
      </c>
      <c r="L34" s="55" t="str">
        <f>IF(B34=0," ",(ABS(-1*((SIN(2*AG34*PI()/180)*L49))+((SIN(4*AG34*PI()/180)*L50))+(((SIN(6*AG34*PI()/180)*AH46))*-1))))</f>
        <v> </v>
      </c>
      <c r="M34" s="57" t="str">
        <f>IF(B34=0," ",(ABS(-1*((SIN(2*AF34*PI()/180)*L49))+((SIN(4*AF34*PI()/180)*L50))+(((SIN(6*AF34*PI()/180)*AH46))*-1))))</f>
        <v> </v>
      </c>
      <c r="N34" s="57" t="str">
        <f>IF(B34=0," ",(ABS(-1*((SIN(2*AE34*PI()/180)*L49))+((SIN(4*AE34*PI()/180)*L50))+(((SIN(6*AE34*PI()/180)*AH46))*-1))))</f>
        <v> </v>
      </c>
      <c r="O34" s="80" t="str">
        <f>IF(B34=0," ",(POWER(L51/(SQRT(ABS(POWER(SIN(AD34*PI()/180),2)*AH47-1))),2)))</f>
        <v> </v>
      </c>
      <c r="P34" s="81" t="str">
        <f>IF(B34=0," ",(-1*(1/(O34*2*(SIN(0.0001/0.36)*PI()/180)/TAN(AD34*PI()/180))*(POWER(COS(AD34*PI()/180),2)*AH48+1)*(1/(0.99920016)*1000000000000*K34))))</f>
        <v> </v>
      </c>
      <c r="Q34" s="82" t="str">
        <f>IF(B34=0," ",(POWER(TAN(AD34*PI()/180),2)*3+5)+(AH48*6)*(POWER(COS(AD34*PI()/180),2))-(AH48*6)*(POWER(SIN(AD34*PI()/180),2)))</f>
        <v> </v>
      </c>
      <c r="R34" s="62" t="str">
        <f>IF(B34=0," ",((Q34-(3*(POWER(AH48,2))*(POWER(POWER(COS(AD34*PI()/180),2),2)))-((POWER(AH48,2))*9)*(POWER(COS(AD34*PI()/180),2))*(POWER(SIN(AD34*PI()/180),2))))*1.001601601809*1E+24)</f>
        <v> </v>
      </c>
      <c r="S34" s="83" t="str">
        <f>IF(B34=0," ",(((POWER(COS((TAN(AD34*PI()/180)/(POWER(O34,2)*(24*L56))*POWER(K34,2)+P34/3600+AD34)*PI()/180),2))*AH48+1)/(O34*2)*(1/0.99920016)*1000000000000))</f>
        <v> </v>
      </c>
      <c r="T34" s="84" t="str">
        <f>IF(B34=0," ",((B34-AH12)))</f>
        <v> </v>
      </c>
      <c r="U34" s="85" t="str">
        <f>IF(B34=0," ",((AA34-AL12)))</f>
        <v> </v>
      </c>
      <c r="V34" s="86" t="str">
        <f>IF(B34=0," ",(SQRT(POWER(AL12-AA34,2)+POWER(AH12-B34,2))))</f>
        <v> </v>
      </c>
      <c r="W34" s="67" t="str">
        <f>IF(B34=0," ",((ATAN((AL12-AA34)/(AH12-B34)))*180/PI()))</f>
        <v> </v>
      </c>
      <c r="X34" s="87" t="str">
        <f t="shared" si="1"/>
        <v> </v>
      </c>
      <c r="Y34" s="88" t="str">
        <f>IF(B34=0," ",((((AA34-500000)*(0.000001)*S51)+(POWER(S51,2))+(POWER((AA34-500000)*0.000001,2)))/3))</f>
        <v> </v>
      </c>
      <c r="Z34" s="88" t="str">
        <f t="shared" si="2"/>
        <v> </v>
      </c>
      <c r="AA34" s="70" t="str">
        <f t="shared" si="3"/>
        <v> </v>
      </c>
      <c r="AB34" s="87" t="str">
        <f t="shared" si="4"/>
        <v> </v>
      </c>
      <c r="AC34" s="87" t="str">
        <f t="shared" si="5"/>
        <v> </v>
      </c>
      <c r="AD34" s="72" t="str">
        <f>IF(B34=0," ",((I34/0.9996+N34)/L48))</f>
        <v> </v>
      </c>
      <c r="AE34" s="72" t="str">
        <f>IF(B34=0," ",(((I34/0.9996+M34)/L48)))</f>
        <v> </v>
      </c>
      <c r="AF34" s="72" t="str">
        <f>IF(B34=0," ",(((I34/0.9996+L34)/L48)))</f>
        <v> </v>
      </c>
      <c r="AG34" s="73" t="str">
        <f>IF(B34=0," ",(I34/L48))</f>
        <v> </v>
      </c>
      <c r="AH34" s="74" t="str">
        <f t="shared" si="6"/>
        <v> </v>
      </c>
      <c r="AI34" s="70" t="str">
        <f>IF(B34=0," ",(AM12+AH34)/2)</f>
        <v> </v>
      </c>
      <c r="AJ34" s="75">
        <f>IF(B34=0,"",(V34-(AI34/B6)*V34)*Z34)</f>
      </c>
      <c r="AK34" s="76">
        <f>IF(B34=0,"",((V34/Z34)*B6)/(B6-AI34))</f>
      </c>
      <c r="AL34" s="77">
        <f>IF(AJ16=0,AK34,AJ34)</f>
      </c>
      <c r="AM34" s="78" t="str">
        <f>IF(B34=0," ",(AL12)+(AC34))</f>
        <v> </v>
      </c>
      <c r="AN34" s="78" t="str">
        <f>IF(B34=0," ",(AH12)+(AB34))</f>
        <v> </v>
      </c>
      <c r="AO34" s="79" t="str">
        <f t="shared" si="8"/>
        <v> </v>
      </c>
      <c r="AQ34" s="1"/>
    </row>
    <row r="35" spans="1:43" ht="18" customHeight="1">
      <c r="A35" s="226"/>
      <c r="B35" s="208"/>
      <c r="C35" s="208"/>
      <c r="D35" s="208"/>
      <c r="E35" s="210">
        <f t="shared" si="7"/>
      </c>
      <c r="F35" s="211" t="str">
        <f t="shared" si="7"/>
        <v> </v>
      </c>
      <c r="G35" s="212" t="str">
        <f t="shared" si="7"/>
        <v> </v>
      </c>
      <c r="H35" s="214" t="str">
        <f t="shared" si="7"/>
        <v> </v>
      </c>
      <c r="I35" s="70" t="str">
        <f>IF(B35=0," ",(10000000-(D12+B35)/2))</f>
        <v> </v>
      </c>
      <c r="J35" s="55" t="str">
        <f>IF(B35=0," ",((500000-(AL12+AA35)/2)*0.000001))</f>
        <v> </v>
      </c>
      <c r="K35" s="55" t="str">
        <f t="shared" si="0"/>
        <v> </v>
      </c>
      <c r="L35" s="55" t="str">
        <f>IF(B35=0," ",(ABS(-1*((SIN(2*AG35*PI()/180)*L49))+((SIN(4*AG35*PI()/180)*L50))+(((SIN(6*AG35*PI()/180)*AH46))*-1))))</f>
        <v> </v>
      </c>
      <c r="M35" s="57" t="str">
        <f>IF(B35=0," ",(ABS(-1*((SIN(2*AF35*PI()/180)*L49))+((SIN(4*AF35*PI()/180)*L50))+(((SIN(6*AF35*PI()/180)*AH46))*-1))))</f>
        <v> </v>
      </c>
      <c r="N35" s="57" t="str">
        <f>IF(B35=0," ",(ABS(-1*((SIN(2*AE35*PI()/180)*L49))+((SIN(4*AE35*PI()/180)*L50))+(((SIN(6*AE35*PI()/180)*AH46))*-1))))</f>
        <v> </v>
      </c>
      <c r="O35" s="80" t="str">
        <f>IF(B35=0," ",(POWER(L51/(SQRT(ABS(POWER(SIN(AD35*PI()/180),2)*AH47-1))),2)))</f>
        <v> </v>
      </c>
      <c r="P35" s="81" t="str">
        <f>IF(B35=0," ",(-1*(1/(O35*2*(SIN(0.0001/0.36)*PI()/180)/TAN(AD35*PI()/180))*(POWER(COS(AD35*PI()/180),2)*AH48+1)*(1/(0.99920016)*1000000000000*K35))))</f>
        <v> </v>
      </c>
      <c r="Q35" s="82" t="str">
        <f>IF(B35=0," ",(POWER(TAN(AD35*PI()/180),2)*3+5)+(AH48*6)*(POWER(COS(AD35*PI()/180),2))-(AH48*6)*(POWER(SIN(AD35*PI()/180),2)))</f>
        <v> </v>
      </c>
      <c r="R35" s="62" t="str">
        <f>IF(B35=0," ",((Q35-(3*(POWER(AH48,2))*(POWER(POWER(COS(AD35*PI()/180),2),2)))-((POWER(AH48,2))*9)*(POWER(COS(AD35*PI()/180),2))*(POWER(SIN(AD35*PI()/180),2))))*1.001601601809*1E+24)</f>
        <v> </v>
      </c>
      <c r="S35" s="83" t="str">
        <f>IF(B35=0," ",(((POWER(COS((TAN(AD35*PI()/180)/(POWER(O35,2)*(24*L56))*POWER(K35,2)+P35/3600+AD35)*PI()/180),2))*AH48+1)/(O35*2)*(1/0.99920016)*1000000000000))</f>
        <v> </v>
      </c>
      <c r="T35" s="84" t="str">
        <f>IF(B35=0," ",((B35-AH12)))</f>
        <v> </v>
      </c>
      <c r="U35" s="85" t="str">
        <f>IF(B35=0," ",((AA35-AL12)))</f>
        <v> </v>
      </c>
      <c r="V35" s="86" t="str">
        <f>IF(B35=0," ",(SQRT(POWER(AL12-AA35,2)+POWER(AH12-B35,2))))</f>
        <v> </v>
      </c>
      <c r="W35" s="67" t="str">
        <f>IF(B35=0," ",((ATAN((AL12-AA35)/(AH12-B35)))*180/PI()))</f>
        <v> </v>
      </c>
      <c r="X35" s="87" t="str">
        <f t="shared" si="1"/>
        <v> </v>
      </c>
      <c r="Y35" s="88" t="str">
        <f>IF(B35=0," ",((((AA35-500000)*(0.000001)*S51)+(POWER(S51,2))+(POWER((AA35-500000)*0.000001,2)))/3))</f>
        <v> </v>
      </c>
      <c r="Z35" s="88" t="str">
        <f t="shared" si="2"/>
        <v> </v>
      </c>
      <c r="AA35" s="70" t="str">
        <f t="shared" si="3"/>
        <v> </v>
      </c>
      <c r="AB35" s="87" t="str">
        <f t="shared" si="4"/>
        <v> </v>
      </c>
      <c r="AC35" s="87" t="str">
        <f t="shared" si="5"/>
        <v> </v>
      </c>
      <c r="AD35" s="72" t="str">
        <f>IF(B35=0," ",((I35/0.9996+N35)/L48))</f>
        <v> </v>
      </c>
      <c r="AE35" s="72" t="str">
        <f>IF(B35=0," ",(((I35/0.9996+M35)/L48)))</f>
        <v> </v>
      </c>
      <c r="AF35" s="72" t="str">
        <f>IF(B35=0," ",(((I35/0.9996+L35)/L48)))</f>
        <v> </v>
      </c>
      <c r="AG35" s="73" t="str">
        <f>IF(B35=0," ",(I35/L48))</f>
        <v> </v>
      </c>
      <c r="AH35" s="74" t="str">
        <f t="shared" si="6"/>
        <v> </v>
      </c>
      <c r="AI35" s="70" t="str">
        <f>IF(B35=0," ",(AM12+AH35)/2)</f>
        <v> </v>
      </c>
      <c r="AJ35" s="75">
        <f>IF(B35=0,"",(V35-(AI35/B6)*V35)*Z35)</f>
      </c>
      <c r="AK35" s="76">
        <f>IF(B35=0,"",((V35/Z35)*B6)/(B6-AI35))</f>
      </c>
      <c r="AL35" s="77">
        <f>IF(AJ16=0,AK35,AJ35)</f>
      </c>
      <c r="AM35" s="78" t="str">
        <f>IF(B35=0," ",(AL12)+(AC35))</f>
        <v> </v>
      </c>
      <c r="AN35" s="78" t="str">
        <f>IF(B35=0," ",(AH12)+(AB35))</f>
        <v> </v>
      </c>
      <c r="AO35" s="79" t="str">
        <f t="shared" si="8"/>
        <v> </v>
      </c>
      <c r="AQ35" s="1"/>
    </row>
    <row r="36" spans="1:43" ht="18" customHeight="1">
      <c r="A36" s="227"/>
      <c r="B36" s="228"/>
      <c r="C36" s="228"/>
      <c r="D36" s="228"/>
      <c r="E36" s="229"/>
      <c r="F36" s="211" t="str">
        <f t="shared" si="7"/>
        <v> </v>
      </c>
      <c r="G36" s="212" t="str">
        <f t="shared" si="7"/>
        <v> </v>
      </c>
      <c r="H36" s="214" t="str">
        <f t="shared" si="7"/>
        <v> </v>
      </c>
      <c r="I36" s="70" t="str">
        <f>IF(B36=0," ",(10000000-(D12+B36)/2))</f>
        <v> </v>
      </c>
      <c r="J36" s="55" t="str">
        <f>IF(B36=0," ",((500000-(AL12+AA36)/2)*0.000001))</f>
        <v> </v>
      </c>
      <c r="K36" s="55" t="str">
        <f t="shared" si="0"/>
        <v> </v>
      </c>
      <c r="L36" s="55" t="str">
        <f>IF(B36=0," ",(ABS(-1*((SIN(2*AG36*PI()/180)*L49))+((SIN(4*AG36*PI()/180)*L50))+(((SIN(6*AG36*PI()/180)*AH46))*-1))))</f>
        <v> </v>
      </c>
      <c r="M36" s="57" t="str">
        <f>IF(B36=0," ",(ABS(-1*((SIN(2*AF36*PI()/180)*L49))+((SIN(4*AF36*PI()/180)*L50))+(((SIN(6*AF36*PI()/180)*AH46))*-1))))</f>
        <v> </v>
      </c>
      <c r="N36" s="57" t="str">
        <f>IF(B36=0," ",(ABS(-1*((SIN(2*AE36*PI()/180)*L49))+((SIN(4*AE36*PI()/180)*L50))+(((SIN(6*AE36*PI()/180)*AH46))*-1))))</f>
        <v> </v>
      </c>
      <c r="O36" s="80" t="str">
        <f>IF(B36=0," ",(POWER(L51/(SQRT(ABS(POWER(SIN(AD36*PI()/180),2)*AH47-1))),2)))</f>
        <v> </v>
      </c>
      <c r="P36" s="81" t="str">
        <f>IF(B36=0," ",(-1*(1/(O36*2*(SIN(0.0001/0.36)*PI()/180)/TAN(AD36*PI()/180))*(POWER(COS(AD36*PI()/180),2)*AH48+1)*(1/(0.99920016)*1000000000000*K36))))</f>
        <v> </v>
      </c>
      <c r="Q36" s="82" t="str">
        <f>IF(B36=0," ",(POWER(TAN(AD36*PI()/180),2)*3+5)+(AH48*6)*(POWER(COS(AD36*PI()/180),2))-(AH48*6)*(POWER(SIN(AD36*PI()/180),2)))</f>
        <v> </v>
      </c>
      <c r="R36" s="62" t="str">
        <f>IF(B36=0," ",((Q36-(3*(POWER(AH48,2))*(POWER(POWER(COS(AD36*PI()/180),2),2)))-((POWER(AH48,2))*9)*(POWER(COS(AD36*PI()/180),2))*(POWER(SIN(AD36*PI()/180),2))))*1.001601601809*1E+24)</f>
        <v> </v>
      </c>
      <c r="S36" s="83" t="str">
        <f>IF(B36=0," ",(((POWER(COS((TAN(AD36*PI()/180)/(POWER(O36,2)*(24*L56))*POWER(K36,2)+P36/3600+AD36)*PI()/180),2))*AH48+1)/(O36*2)*(1/0.99920016)*1000000000000))</f>
        <v> </v>
      </c>
      <c r="T36" s="84" t="str">
        <f>IF(B36=0," ",((B36-AH12)))</f>
        <v> </v>
      </c>
      <c r="U36" s="85" t="str">
        <f>IF(B36=0," ",((AA36-AL12)))</f>
        <v> </v>
      </c>
      <c r="V36" s="86" t="str">
        <f>IF(B36=0," ",(SQRT(POWER(AL12-AA36,2)+POWER(AH12-B36,2))))</f>
        <v> </v>
      </c>
      <c r="W36" s="67" t="str">
        <f>IF(B36=0," ",((ATAN((AL12-AA36)/(AH12-B36)))*180/PI()))</f>
        <v> </v>
      </c>
      <c r="X36" s="87" t="str">
        <f t="shared" si="1"/>
        <v> </v>
      </c>
      <c r="Y36" s="88" t="str">
        <f>IF(B36=0," ",((((AA36-500000)*(0.000001)*S51)+(POWER(S51,2))+(POWER((AA36-500000)*0.000001,2)))/3))</f>
        <v> </v>
      </c>
      <c r="Z36" s="88" t="str">
        <f t="shared" si="2"/>
        <v> </v>
      </c>
      <c r="AA36" s="70" t="str">
        <f t="shared" si="3"/>
        <v> </v>
      </c>
      <c r="AB36" s="87" t="str">
        <f t="shared" si="4"/>
        <v> </v>
      </c>
      <c r="AC36" s="87" t="str">
        <f t="shared" si="5"/>
        <v> </v>
      </c>
      <c r="AD36" s="72" t="str">
        <f>IF(B36=0," ",((I36/0.9996+N36)/L48))</f>
        <v> </v>
      </c>
      <c r="AE36" s="72" t="str">
        <f>IF(B36=0," ",(((I36/0.9996+M36)/L48)))</f>
        <v> </v>
      </c>
      <c r="AF36" s="72" t="str">
        <f>IF(B36=0," ",(((I36/0.9996+L36)/L48)))</f>
        <v> </v>
      </c>
      <c r="AG36" s="73" t="str">
        <f>IF(B36=0," ",(I36/L48))</f>
        <v> </v>
      </c>
      <c r="AH36" s="74" t="str">
        <f t="shared" si="6"/>
        <v> </v>
      </c>
      <c r="AI36" s="70" t="str">
        <f>IF(B36=0," ",(AM12+AH36)/2)</f>
        <v> </v>
      </c>
      <c r="AJ36" s="75">
        <f>IF(B36=0,"",(V36-(AI36/B6)*V36)*Z36)</f>
      </c>
      <c r="AK36" s="76">
        <f>IF(B36=0,"",((V36/Z36)*B6)/(B6-AI36))</f>
      </c>
      <c r="AL36" s="77">
        <f>IF(AJ16=0,AK36,AJ36)</f>
      </c>
      <c r="AM36" s="78" t="str">
        <f>IF(B36=0," ",(AL12)+(AC36))</f>
        <v> </v>
      </c>
      <c r="AN36" s="78" t="str">
        <f>IF(B36=0," ",(AH12)+(AB36))</f>
        <v> </v>
      </c>
      <c r="AO36" s="79" t="str">
        <f t="shared" si="8"/>
        <v> </v>
      </c>
      <c r="AQ36" s="1"/>
    </row>
    <row r="37" spans="1:43" ht="18" customHeight="1">
      <c r="A37" s="227"/>
      <c r="B37" s="228"/>
      <c r="C37" s="228"/>
      <c r="D37" s="228"/>
      <c r="E37" s="229"/>
      <c r="F37" s="211" t="str">
        <f t="shared" si="7"/>
        <v> </v>
      </c>
      <c r="G37" s="212" t="str">
        <f t="shared" si="7"/>
        <v> </v>
      </c>
      <c r="H37" s="214" t="str">
        <f t="shared" si="7"/>
        <v> </v>
      </c>
      <c r="I37" s="70" t="str">
        <f>IF(B37=0," ",(10000000-(D12+B37)/2))</f>
        <v> </v>
      </c>
      <c r="J37" s="55" t="str">
        <f>IF(B37=0," ",((500000-(AL12+AA37)/2)*0.000001))</f>
        <v> </v>
      </c>
      <c r="K37" s="55" t="str">
        <f t="shared" si="0"/>
        <v> </v>
      </c>
      <c r="L37" s="55" t="str">
        <f>IF(B37=0," ",(ABS(-1*((SIN(2*AG37*PI()/180)*L49))+((SIN(4*AG37*PI()/180)*L50))+(((SIN(6*AG37*PI()/180)*AH46))*-1))))</f>
        <v> </v>
      </c>
      <c r="M37" s="57" t="str">
        <f>IF(B37=0," ",(ABS(-1*((SIN(2*AF37*PI()/180)*L49))+((SIN(4*AF37*PI()/180)*L50))+(((SIN(6*AF37*PI()/180)*AH46))*-1))))</f>
        <v> </v>
      </c>
      <c r="N37" s="57" t="str">
        <f>IF(B37=0," ",(ABS(-1*((SIN(2*AE37*PI()/180)*L49))+((SIN(4*AE37*PI()/180)*L50))+(((SIN(6*AE37*PI()/180)*AH46))*-1))))</f>
        <v> </v>
      </c>
      <c r="O37" s="80" t="str">
        <f>IF(B37=0," ",(POWER(L51/(SQRT(ABS(POWER(SIN(AD37*PI()/180),2)*AH47-1))),2)))</f>
        <v> </v>
      </c>
      <c r="P37" s="81" t="str">
        <f>IF(B37=0," ",(-1*(1/(O37*2*(SIN(0.0001/0.36)*PI()/180)/TAN(AD37*PI()/180))*(POWER(COS(AD37*PI()/180),2)*AH48+1)*(1/(0.99920016)*1000000000000*K37))))</f>
        <v> </v>
      </c>
      <c r="Q37" s="82" t="str">
        <f>IF(B37=0," ",(POWER(TAN(AD37*PI()/180),2)*3+5)+(AH48*6)*(POWER(COS(AD37*PI()/180),2))-(AH48*6)*(POWER(SIN(AD37*PI()/180),2)))</f>
        <v> </v>
      </c>
      <c r="R37" s="62" t="str">
        <f>IF(B37=0," ",((Q37-(3*(POWER(AH48,2))*(POWER(POWER(COS(AD37*PI()/180),2),2)))-((POWER(AH48,2))*9)*(POWER(COS(AD37*PI()/180),2))*(POWER(SIN(AD37*PI()/180),2))))*1.001601601809*1E+24)</f>
        <v> </v>
      </c>
      <c r="S37" s="83" t="str">
        <f>IF(B37=0," ",(((POWER(COS((TAN(AD37*PI()/180)/(POWER(O37,2)*(24*L56))*POWER(K37,2)+P37/3600+AD37)*PI()/180),2))*AH48+1)/(O37*2)*(1/0.99920016)*1000000000000))</f>
        <v> </v>
      </c>
      <c r="T37" s="84" t="str">
        <f>IF(B37=0," ",((B37-AH12)))</f>
        <v> </v>
      </c>
      <c r="U37" s="85" t="str">
        <f>IF(B37=0," ",((AA37-AL12)))</f>
        <v> </v>
      </c>
      <c r="V37" s="86" t="str">
        <f>IF(B37=0," ",(SQRT(POWER(AL12-AA37,2)+POWER(AH12-B37,2))))</f>
        <v> </v>
      </c>
      <c r="W37" s="67" t="str">
        <f>IF(B37=0," ",((ATAN((AL12-AA37)/(AH12-B37)))*180/PI()))</f>
        <v> </v>
      </c>
      <c r="X37" s="87" t="str">
        <f t="shared" si="1"/>
        <v> </v>
      </c>
      <c r="Y37" s="88" t="str">
        <f>IF(B37=0," ",((((AA37-500000)*(0.000001)*S51)+(POWER(S51,2))+(POWER((AA37-500000)*0.000001,2)))/3))</f>
        <v> </v>
      </c>
      <c r="Z37" s="88" t="str">
        <f t="shared" si="2"/>
        <v> </v>
      </c>
      <c r="AA37" s="70" t="str">
        <f t="shared" si="3"/>
        <v> </v>
      </c>
      <c r="AB37" s="87" t="str">
        <f t="shared" si="4"/>
        <v> </v>
      </c>
      <c r="AC37" s="87" t="str">
        <f t="shared" si="5"/>
        <v> </v>
      </c>
      <c r="AD37" s="72" t="str">
        <f>IF(B37=0," ",((I37/0.9996+N37)/L48))</f>
        <v> </v>
      </c>
      <c r="AE37" s="72" t="str">
        <f>IF(B37=0," ",(((I37/0.9996+M37)/L48)))</f>
        <v> </v>
      </c>
      <c r="AF37" s="72" t="str">
        <f>IF(B37=0," ",(((I37/0.9996+L37)/L48)))</f>
        <v> </v>
      </c>
      <c r="AG37" s="73" t="str">
        <f>IF(B37=0," ",(I37/L48))</f>
        <v> </v>
      </c>
      <c r="AH37" s="74" t="str">
        <f t="shared" si="6"/>
        <v> </v>
      </c>
      <c r="AI37" s="70" t="str">
        <f>IF(B37=0," ",(AM12+AH37)/2)</f>
        <v> </v>
      </c>
      <c r="AJ37" s="75">
        <f>IF(B37=0,"",(V37-(AI37/B6)*V37)*Z37)</f>
      </c>
      <c r="AK37" s="76">
        <f>IF(B37=0,"",((V37/Z37)*B6)/(B6-AI37))</f>
      </c>
      <c r="AL37" s="77">
        <f>IF(AJ16=0,AK37,AJ37)</f>
      </c>
      <c r="AM37" s="78" t="str">
        <f>IF(B37=0," ",(AL12)+(AC37))</f>
        <v> </v>
      </c>
      <c r="AN37" s="78" t="str">
        <f>IF(B37=0," ",(AH12)+(AB37))</f>
        <v> </v>
      </c>
      <c r="AO37" s="79" t="str">
        <f t="shared" si="8"/>
        <v> </v>
      </c>
      <c r="AQ37" s="1"/>
    </row>
    <row r="38" spans="1:43" ht="18" customHeight="1">
      <c r="A38" s="227"/>
      <c r="B38" s="228"/>
      <c r="C38" s="228"/>
      <c r="D38" s="228"/>
      <c r="E38" s="229"/>
      <c r="F38" s="211" t="str">
        <f t="shared" si="7"/>
        <v> </v>
      </c>
      <c r="G38" s="212" t="str">
        <f t="shared" si="7"/>
        <v> </v>
      </c>
      <c r="H38" s="214" t="str">
        <f t="shared" si="7"/>
        <v> </v>
      </c>
      <c r="I38" s="70" t="str">
        <f>IF(B38=0," ",(10000000-(D12+B38)/2))</f>
        <v> </v>
      </c>
      <c r="J38" s="55" t="str">
        <f>IF(B38=0," ",((500000-(AL12+AA38)/2)*0.000001))</f>
        <v> </v>
      </c>
      <c r="K38" s="55" t="str">
        <f t="shared" si="0"/>
        <v> </v>
      </c>
      <c r="L38" s="55" t="str">
        <f>IF(B38=0," ",(ABS(-1*((SIN(2*AG38*PI()/180)*L49))+((SIN(4*AG38*PI()/180)*L50))+(((SIN(6*AG38*PI()/180)*AH46))*-1))))</f>
        <v> </v>
      </c>
      <c r="M38" s="57" t="str">
        <f>IF(B38=0," ",(ABS(-1*((SIN(2*AF38*PI()/180)*L49))+((SIN(4*AF38*PI()/180)*L50))+(((SIN(6*AF38*PI()/180)*AH46))*-1))))</f>
        <v> </v>
      </c>
      <c r="N38" s="57" t="str">
        <f>IF(B38=0," ",(ABS(-1*((SIN(2*AE38*PI()/180)*L49))+((SIN(4*AE38*PI()/180)*L50))+(((SIN(6*AE38*PI()/180)*AH46))*-1))))</f>
        <v> </v>
      </c>
      <c r="O38" s="80" t="str">
        <f>IF(B38=0," ",(POWER(L51/(SQRT(ABS(POWER(SIN(AD38*PI()/180),2)*AH47-1))),2)))</f>
        <v> </v>
      </c>
      <c r="P38" s="81" t="str">
        <f>IF(B38=0," ",(-1*(1/(O38*2*(SIN(0.0001/0.36)*PI()/180)/TAN(AD38*PI()/180))*(POWER(COS(AD38*PI()/180),2)*AH48+1)*(1/(0.99920016)*1000000000000*K38))))</f>
        <v> </v>
      </c>
      <c r="Q38" s="82" t="str">
        <f>IF(B38=0," ",(POWER(TAN(AD38*PI()/180),2)*3+5)+(AH48*6)*(POWER(COS(AD38*PI()/180),2))-(AH48*6)*(POWER(SIN(AD38*PI()/180),2)))</f>
        <v> </v>
      </c>
      <c r="R38" s="62" t="str">
        <f>IF(B38=0," ",((Q38-(3*(POWER(AH48,2))*(POWER(POWER(COS(AD38*PI()/180),2),2)))-((POWER(AH48,2))*9)*(POWER(COS(AD38*PI()/180),2))*(POWER(SIN(AD38*PI()/180),2))))*1.001601601809*1E+24)</f>
        <v> </v>
      </c>
      <c r="S38" s="83" t="str">
        <f>IF(B38=0," ",(((POWER(COS((TAN(AD38*PI()/180)/(POWER(O38,2)*(24*L56))*POWER(K38,2)+P38/3600+AD38)*PI()/180),2))*AH48+1)/(O38*2)*(1/0.99920016)*1000000000000))</f>
        <v> </v>
      </c>
      <c r="T38" s="84" t="str">
        <f>IF(B38=0," ",((B38-AH12)))</f>
        <v> </v>
      </c>
      <c r="U38" s="85" t="str">
        <f>IF(B38=0," ",((AA38-AL12)))</f>
        <v> </v>
      </c>
      <c r="V38" s="86" t="str">
        <f>IF(B38=0," ",(SQRT(POWER(AL12-AA38,2)+POWER(AH12-B38,2))))</f>
        <v> </v>
      </c>
      <c r="W38" s="67" t="str">
        <f>IF(B38=0," ",((ATAN((AL12-AA38)/(AH12-B38)))*180/PI()))</f>
        <v> </v>
      </c>
      <c r="X38" s="87" t="str">
        <f t="shared" si="1"/>
        <v> </v>
      </c>
      <c r="Y38" s="88" t="str">
        <f>IF(B38=0," ",((((AA38-500000)*(0.000001)*S51)+(POWER(S51,2))+(POWER((AA38-500000)*0.000001,2)))/3))</f>
        <v> </v>
      </c>
      <c r="Z38" s="88" t="str">
        <f t="shared" si="2"/>
        <v> </v>
      </c>
      <c r="AA38" s="70" t="str">
        <f t="shared" si="3"/>
        <v> </v>
      </c>
      <c r="AB38" s="87" t="str">
        <f t="shared" si="4"/>
        <v> </v>
      </c>
      <c r="AC38" s="87" t="str">
        <f t="shared" si="5"/>
        <v> </v>
      </c>
      <c r="AD38" s="72" t="str">
        <f>IF(B38=0," ",((I38/0.9996+N38)/L48))</f>
        <v> </v>
      </c>
      <c r="AE38" s="72" t="str">
        <f>IF(B38=0," ",(((I38/0.9996+M38)/L48)))</f>
        <v> </v>
      </c>
      <c r="AF38" s="72" t="str">
        <f>IF(B38=0," ",(((I38/0.9996+L38)/L48)))</f>
        <v> </v>
      </c>
      <c r="AG38" s="73" t="str">
        <f>IF(B38=0," ",(I38/L48))</f>
        <v> </v>
      </c>
      <c r="AH38" s="74" t="str">
        <f t="shared" si="6"/>
        <v> </v>
      </c>
      <c r="AI38" s="70" t="str">
        <f>IF(B38=0," ",(AM12+AH38)/2)</f>
        <v> </v>
      </c>
      <c r="AJ38" s="75">
        <f>IF(B38=0,"",(V38-(AI38/B6)*V38)*Z38)</f>
      </c>
      <c r="AK38" s="76">
        <f>IF(B38=0,"",((V38/Z38)*B6)/(B6-AI38))</f>
      </c>
      <c r="AL38" s="77">
        <f>IF(AJ16=0,AK38,AJ38)</f>
      </c>
      <c r="AM38" s="78" t="str">
        <f>IF(B38=0," ",(AL12)+(AC38))</f>
        <v> </v>
      </c>
      <c r="AN38" s="78" t="str">
        <f>IF(B38=0," ",(AH12)+(AB38))</f>
        <v> </v>
      </c>
      <c r="AO38" s="79" t="str">
        <f t="shared" si="8"/>
        <v> </v>
      </c>
      <c r="AQ38" s="1"/>
    </row>
    <row r="39" spans="1:43" ht="18" customHeight="1">
      <c r="A39" s="227"/>
      <c r="B39" s="228"/>
      <c r="C39" s="228"/>
      <c r="D39" s="228"/>
      <c r="E39" s="229"/>
      <c r="F39" s="211" t="str">
        <f t="shared" si="7"/>
        <v> </v>
      </c>
      <c r="G39" s="212" t="str">
        <f t="shared" si="7"/>
        <v> </v>
      </c>
      <c r="H39" s="214" t="str">
        <f t="shared" si="7"/>
        <v> </v>
      </c>
      <c r="I39" s="70" t="str">
        <f>IF(B39=0," ",(10000000-(D12+B39)/2))</f>
        <v> </v>
      </c>
      <c r="J39" s="55" t="str">
        <f>IF(B39=0," ",((500000-(AL12+AA39)/2)*0.000001))</f>
        <v> </v>
      </c>
      <c r="K39" s="55" t="str">
        <f t="shared" si="0"/>
        <v> </v>
      </c>
      <c r="L39" s="55" t="str">
        <f>IF(B39=0," ",(ABS(-1*((SIN(2*AG39*PI()/180)*L49))+((SIN(4*AG39*PI()/180)*L50))+(((SIN(6*AG39*PI()/180)*AH46))*-1))))</f>
        <v> </v>
      </c>
      <c r="M39" s="57" t="str">
        <f>IF(B39=0," ",(ABS(-1*((SIN(2*AF39*PI()/180)*L49))+((SIN(4*AF39*PI()/180)*L50))+(((SIN(6*AF39*PI()/180)*AH46))*-1))))</f>
        <v> </v>
      </c>
      <c r="N39" s="57" t="str">
        <f>IF(B39=0," ",(ABS(-1*((SIN(2*AE39*PI()/180)*L49))+((SIN(4*AE39*PI()/180)*L50))+(((SIN(6*AE39*PI()/180)*AH46))*-1))))</f>
        <v> </v>
      </c>
      <c r="O39" s="80" t="str">
        <f>IF(B39=0," ",(POWER(L51/(SQRT(ABS(POWER(SIN(AD39*PI()/180),2)*AH47-1))),2)))</f>
        <v> </v>
      </c>
      <c r="P39" s="81" t="str">
        <f>IF(B39=0," ",(-1*(1/(O39*2*(SIN(0.0001/0.36)*PI()/180)/TAN(AD39*PI()/180))*(POWER(COS(AD39*PI()/180),2)*AH48+1)*(1/(0.99920016)*1000000000000*K39))))</f>
        <v> </v>
      </c>
      <c r="Q39" s="82" t="str">
        <f>IF(B39=0," ",(POWER(TAN(AD39*PI()/180),2)*3+5)+(AH48*6)*(POWER(COS(AD39*PI()/180),2))-(AH48*6)*(POWER(SIN(AD39*PI()/180),2)))</f>
        <v> </v>
      </c>
      <c r="R39" s="62" t="str">
        <f>IF(B39=0," ",((Q39-(3*(POWER(AH48,2))*(POWER(POWER(COS(AD39*PI()/180),2),2)))-((POWER(AH48,2))*9)*(POWER(COS(AD39*PI()/180),2))*(POWER(SIN(AD39*PI()/180),2))))*1.001601601809*1E+24)</f>
        <v> </v>
      </c>
      <c r="S39" s="83" t="str">
        <f>IF(B39=0," ",(((POWER(COS((TAN(AD39*PI()/180)/(POWER(O39,2)*(24*L56))*POWER(K39,2)+P39/3600+AD39)*PI()/180),2))*AH48+1)/(O39*2)*(1/0.99920016)*1000000000000))</f>
        <v> </v>
      </c>
      <c r="T39" s="84" t="str">
        <f>IF(B39=0," ",((B39-AH12)))</f>
        <v> </v>
      </c>
      <c r="U39" s="85" t="str">
        <f>IF(B39=0," ",((AA39-AL12)))</f>
        <v> </v>
      </c>
      <c r="V39" s="86" t="str">
        <f>IF(B39=0," ",(SQRT(POWER(AL12-AA39,2)+POWER(AH12-B39,2))))</f>
        <v> </v>
      </c>
      <c r="W39" s="67" t="str">
        <f>IF(B39=0," ",((ATAN((AL12-AA39)/(AH12-B39)))*180/PI()))</f>
        <v> </v>
      </c>
      <c r="X39" s="87" t="str">
        <f t="shared" si="1"/>
        <v> </v>
      </c>
      <c r="Y39" s="88" t="str">
        <f>IF(B39=0," ",((((AA39-500000)*(0.000001)*S51)+(POWER(S51,2))+(POWER((AA39-500000)*0.000001,2)))/3))</f>
        <v> </v>
      </c>
      <c r="Z39" s="88" t="str">
        <f t="shared" si="2"/>
        <v> </v>
      </c>
      <c r="AA39" s="70" t="str">
        <f t="shared" si="3"/>
        <v> </v>
      </c>
      <c r="AB39" s="87" t="str">
        <f t="shared" si="4"/>
        <v> </v>
      </c>
      <c r="AC39" s="87" t="str">
        <f t="shared" si="5"/>
        <v> </v>
      </c>
      <c r="AD39" s="72" t="str">
        <f>IF(B39=0," ",((I39/0.9996+N39)/L48))</f>
        <v> </v>
      </c>
      <c r="AE39" s="72" t="str">
        <f>IF(B39=0," ",(((I39/0.9996+M39)/L48)))</f>
        <v> </v>
      </c>
      <c r="AF39" s="72" t="str">
        <f>IF(B39=0," ",(((I39/0.9996+L39)/L48)))</f>
        <v> </v>
      </c>
      <c r="AG39" s="73" t="str">
        <f>IF(B39=0," ",(I39/L48))</f>
        <v> </v>
      </c>
      <c r="AH39" s="74" t="str">
        <f t="shared" si="6"/>
        <v> </v>
      </c>
      <c r="AI39" s="70" t="str">
        <f>IF(B39=0," ",(AM12+AH39)/2)</f>
        <v> </v>
      </c>
      <c r="AJ39" s="75">
        <f>IF(B39=0,"",(V39-(AI39/B6)*V39)*Z39)</f>
      </c>
      <c r="AK39" s="76">
        <f>IF(B39=0,"",((V39/Z39)*B6)/(B6-AI39))</f>
      </c>
      <c r="AL39" s="77">
        <f>IF(AJ16=0,AK39,AJ39)</f>
      </c>
      <c r="AM39" s="78" t="str">
        <f>IF(B39=0," ",(AL12)+(AC39))</f>
        <v> </v>
      </c>
      <c r="AN39" s="78" t="str">
        <f>IF(B39=0," ",(AH12)+(AB39))</f>
        <v> </v>
      </c>
      <c r="AO39" s="79" t="str">
        <f t="shared" si="8"/>
        <v> </v>
      </c>
      <c r="AQ39" s="1"/>
    </row>
    <row r="40" spans="1:43" ht="18" customHeight="1">
      <c r="A40" s="227"/>
      <c r="B40" s="228"/>
      <c r="C40" s="228"/>
      <c r="D40" s="228"/>
      <c r="E40" s="229"/>
      <c r="F40" s="211" t="str">
        <f t="shared" si="7"/>
        <v> </v>
      </c>
      <c r="G40" s="212" t="str">
        <f t="shared" si="7"/>
        <v> </v>
      </c>
      <c r="H40" s="214" t="str">
        <f t="shared" si="7"/>
        <v> </v>
      </c>
      <c r="I40" s="70" t="str">
        <f>IF(B40=0," ",(10000000-(D12+B40)/2))</f>
        <v> </v>
      </c>
      <c r="J40" s="55" t="str">
        <f>IF(B40=0," ",((500000-(AL12+AA40)/2)*0.000001))</f>
        <v> </v>
      </c>
      <c r="K40" s="55" t="str">
        <f t="shared" si="0"/>
        <v> </v>
      </c>
      <c r="L40" s="55" t="str">
        <f>IF(B40=0," ",(ABS(-1*((SIN(2*AG40*PI()/180)*L49))+((SIN(4*AG40*PI()/180)*L50))+(((SIN(6*AG40*PI()/180)*AH46))*-1))))</f>
        <v> </v>
      </c>
      <c r="M40" s="57" t="str">
        <f>IF(B40=0," ",(ABS(-1*((SIN(2*AF40*PI()/180)*L49))+((SIN(4*AF40*PI()/180)*L50))+(((SIN(6*AF40*PI()/180)*AH46))*-1))))</f>
        <v> </v>
      </c>
      <c r="N40" s="57" t="str">
        <f>IF(B40=0," ",(ABS(-1*((SIN(2*AE40*PI()/180)*L49))+((SIN(4*AE40*PI()/180)*L50))+(((SIN(6*AE40*PI()/180)*AH46))*-1))))</f>
        <v> </v>
      </c>
      <c r="O40" s="80" t="str">
        <f>IF(B40=0," ",(POWER(L51/(SQRT(ABS(POWER(SIN(AD40*PI()/180),2)*AH47-1))),2)))</f>
        <v> </v>
      </c>
      <c r="P40" s="81" t="str">
        <f>IF(B40=0," ",(-1*(1/(O40*2*(SIN(0.0001/0.36)*PI()/180)/TAN(AD40*PI()/180))*(POWER(COS(AD40*PI()/180),2)*AH48+1)*(1/(0.99920016)*1000000000000*K40))))</f>
        <v> </v>
      </c>
      <c r="Q40" s="82" t="str">
        <f>IF(B40=0," ",(POWER(TAN(AD40*PI()/180),2)*3+5)+(AH48*6)*(POWER(COS(AD40*PI()/180),2))-(AH48*6)*(POWER(SIN(AD40*PI()/180),2)))</f>
        <v> </v>
      </c>
      <c r="R40" s="62" t="str">
        <f>IF(B40=0," ",((Q40-(3*(POWER(AH48,2))*(POWER(POWER(COS(AD40*PI()/180),2),2)))-((POWER(AH48,2))*9)*(POWER(COS(AD40*PI()/180),2))*(POWER(SIN(AD40*PI()/180),2))))*1.001601601809*1E+24)</f>
        <v> </v>
      </c>
      <c r="S40" s="83" t="str">
        <f>IF(B40=0," ",(((POWER(COS((TAN(AD40*PI()/180)/(POWER(O40,2)*(24*L56))*POWER(K40,2)+P40/3600+AD40)*PI()/180),2))*AH48+1)/(O40*2)*(1/0.99920016)*1000000000000))</f>
        <v> </v>
      </c>
      <c r="T40" s="84" t="str">
        <f>IF(B40=0," ",((B40-AH12)))</f>
        <v> </v>
      </c>
      <c r="U40" s="85" t="str">
        <f>IF(B40=0," ",((AA40-AL12)))</f>
        <v> </v>
      </c>
      <c r="V40" s="86" t="str">
        <f>IF(B40=0," ",(SQRT(POWER(AL12-AA40,2)+POWER(AH12-B40,2))))</f>
        <v> </v>
      </c>
      <c r="W40" s="67" t="str">
        <f>IF(B40=0," ",((ATAN((AL12-AA40)/(AH12-B40)))*180/PI()))</f>
        <v> </v>
      </c>
      <c r="X40" s="87" t="str">
        <f t="shared" si="1"/>
        <v> </v>
      </c>
      <c r="Y40" s="88" t="str">
        <f>IF(B40=0," ",((((AA40-500000)*(0.000001)*S51)+(POWER(S51,2))+(POWER((AA40-500000)*0.000001,2)))/3))</f>
        <v> </v>
      </c>
      <c r="Z40" s="88" t="str">
        <f t="shared" si="2"/>
        <v> </v>
      </c>
      <c r="AA40" s="70" t="str">
        <f t="shared" si="3"/>
        <v> </v>
      </c>
      <c r="AB40" s="87" t="str">
        <f t="shared" si="4"/>
        <v> </v>
      </c>
      <c r="AC40" s="87" t="str">
        <f t="shared" si="5"/>
        <v> </v>
      </c>
      <c r="AD40" s="72" t="str">
        <f>IF(B40=0," ",((I40/0.9996+N40)/L48))</f>
        <v> </v>
      </c>
      <c r="AE40" s="72" t="str">
        <f>IF(B40=0," ",(((I40/0.9996+M40)/L48)))</f>
        <v> </v>
      </c>
      <c r="AF40" s="72" t="str">
        <f>IF(B40=0," ",(((I40/0.9996+L40)/L48)))</f>
        <v> </v>
      </c>
      <c r="AG40" s="73" t="str">
        <f>IF(B40=0," ",(I40/L48))</f>
        <v> </v>
      </c>
      <c r="AH40" s="74" t="str">
        <f t="shared" si="6"/>
        <v> </v>
      </c>
      <c r="AI40" s="70" t="str">
        <f>IF(B40=0," ",(AM12+AH40)/2)</f>
        <v> </v>
      </c>
      <c r="AJ40" s="75">
        <f>IF(B40=0,"",(V40-(AI40/B6)*V40)*Z40)</f>
      </c>
      <c r="AK40" s="76">
        <f>IF(B40=0,"",((V40/Z40)*B6)/(B6-AI40))</f>
      </c>
      <c r="AL40" s="77">
        <f>IF(AJ16=0,AK40,AJ40)</f>
      </c>
      <c r="AM40" s="78" t="str">
        <f>IF(B40=0," ",(AL12)+(AC40))</f>
        <v> </v>
      </c>
      <c r="AN40" s="78" t="str">
        <f>IF(B40=0," ",(AH12)+(AB40))</f>
        <v> </v>
      </c>
      <c r="AO40" s="79" t="str">
        <f t="shared" si="8"/>
        <v> </v>
      </c>
      <c r="AQ40" s="1"/>
    </row>
    <row r="41" spans="1:43" ht="18" customHeight="1">
      <c r="A41" s="227"/>
      <c r="B41" s="228"/>
      <c r="C41" s="228"/>
      <c r="D41" s="228"/>
      <c r="E41" s="229"/>
      <c r="F41" s="211" t="str">
        <f t="shared" si="7"/>
        <v> </v>
      </c>
      <c r="G41" s="212" t="str">
        <f t="shared" si="7"/>
        <v> </v>
      </c>
      <c r="H41" s="214" t="str">
        <f t="shared" si="7"/>
        <v> </v>
      </c>
      <c r="I41" s="70" t="str">
        <f>IF(B41=0," ",(10000000-(D12+B41)/2))</f>
        <v> </v>
      </c>
      <c r="J41" s="55" t="str">
        <f>IF(B41=0," ",((500000-(AL12+AA41)/2)*0.000001))</f>
        <v> </v>
      </c>
      <c r="K41" s="55" t="str">
        <f t="shared" si="0"/>
        <v> </v>
      </c>
      <c r="L41" s="55" t="str">
        <f>IF(B41=0," ",(ABS(-1*((SIN(2*AG41*PI()/180)*L49))+((SIN(4*AG41*PI()/180)*L50))+(((SIN(6*AG41*PI()/180)*AH46))*-1))))</f>
        <v> </v>
      </c>
      <c r="M41" s="57" t="str">
        <f>IF(B41=0," ",(ABS(-1*((SIN(2*AF41*PI()/180)*L49))+((SIN(4*AF41*PI()/180)*L50))+(((SIN(6*AF41*PI()/180)*AH46))*-1))))</f>
        <v> </v>
      </c>
      <c r="N41" s="57" t="str">
        <f>IF(B41=0," ",(ABS(-1*((SIN(2*AE41*PI()/180)*L49))+((SIN(4*AE41*PI()/180)*L50))+(((SIN(6*AE41*PI()/180)*AH46))*-1))))</f>
        <v> </v>
      </c>
      <c r="O41" s="80" t="str">
        <f>IF(B41=0," ",(POWER(L51/(SQRT(ABS(POWER(SIN(AD41*PI()/180),2)*AH47-1))),2)))</f>
        <v> </v>
      </c>
      <c r="P41" s="81" t="str">
        <f>IF(B41=0," ",(-1*(1/(O41*2*(SIN(0.0001/0.36)*PI()/180)/TAN(AD41*PI()/180))*(POWER(COS(AD41*PI()/180),2)*AH48+1)*(1/(0.99920016)*1000000000000*K41))))</f>
        <v> </v>
      </c>
      <c r="Q41" s="82" t="str">
        <f>IF(B41=0," ",(POWER(TAN(AD41*PI()/180),2)*3+5)+(AH48*6)*(POWER(COS(AD41*PI()/180),2))-(AH48*6)*(POWER(SIN(AD41*PI()/180),2)))</f>
        <v> </v>
      </c>
      <c r="R41" s="62" t="str">
        <f>IF(B41=0," ",((Q41-(3*(POWER(AH48,2))*(POWER(POWER(COS(AD41*PI()/180),2),2)))-((POWER(AH48,2))*9)*(POWER(COS(AD41*PI()/180),2))*(POWER(SIN(AD41*PI()/180),2))))*1.001601601809*1E+24)</f>
        <v> </v>
      </c>
      <c r="S41" s="83" t="str">
        <f>IF(B41=0," ",(((POWER(COS((TAN(AD41*PI()/180)/(POWER(O41,2)*(24*L56))*POWER(K41,2)+P41/3600+AD41)*PI()/180),2))*AH48+1)/(O41*2)*(1/0.99920016)*1000000000000))</f>
        <v> </v>
      </c>
      <c r="T41" s="84" t="str">
        <f>IF(B41=0," ",((B41-AH12)))</f>
        <v> </v>
      </c>
      <c r="U41" s="85" t="str">
        <f>IF(B41=0," ",((AA41-AL12)))</f>
        <v> </v>
      </c>
      <c r="V41" s="86" t="str">
        <f>IF(B41=0," ",(SQRT(POWER(AL12-AA41,2)+POWER(AH12-B41,2))))</f>
        <v> </v>
      </c>
      <c r="W41" s="67" t="str">
        <f>IF(B41=0," ",((ATAN((AL12-AA41)/(AH12-B41)))*180/PI()))</f>
        <v> </v>
      </c>
      <c r="X41" s="87" t="str">
        <f t="shared" si="1"/>
        <v> </v>
      </c>
      <c r="Y41" s="88" t="str">
        <f>IF(B41=0," ",((((AA41-500000)*(0.000001)*S51)+(POWER(S51,2))+(POWER((AA41-500000)*0.000001,2)))/3))</f>
        <v> </v>
      </c>
      <c r="Z41" s="88" t="str">
        <f t="shared" si="2"/>
        <v> </v>
      </c>
      <c r="AA41" s="70" t="str">
        <f t="shared" si="3"/>
        <v> </v>
      </c>
      <c r="AB41" s="87" t="str">
        <f t="shared" si="4"/>
        <v> </v>
      </c>
      <c r="AC41" s="87" t="str">
        <f t="shared" si="5"/>
        <v> </v>
      </c>
      <c r="AD41" s="72" t="str">
        <f>IF(B41=0," ",((I41/0.9996+N41)/L48))</f>
        <v> </v>
      </c>
      <c r="AE41" s="72" t="str">
        <f>IF(B41=0," ",(((I41/0.9996+M41)/L48)))</f>
        <v> </v>
      </c>
      <c r="AF41" s="72" t="str">
        <f>IF(B41=0," ",(((I41/0.9996+L41)/L48)))</f>
        <v> </v>
      </c>
      <c r="AG41" s="73" t="str">
        <f>IF(B41=0," ",(I41/L48))</f>
        <v> </v>
      </c>
      <c r="AH41" s="74" t="str">
        <f t="shared" si="6"/>
        <v> </v>
      </c>
      <c r="AI41" s="70" t="str">
        <f>IF(B41=0," ",(AM12+AH41)/2)</f>
        <v> </v>
      </c>
      <c r="AJ41" s="75">
        <f>IF(B41=0,"",(V41-(AI41/B6)*V41)*Z41)</f>
      </c>
      <c r="AK41" s="76">
        <f>IF(B41=0,"",((V41/Z41)*B6)/(B6-AI41))</f>
      </c>
      <c r="AL41" s="77">
        <f>IF(AJ16=0,AK41,AJ41)</f>
      </c>
      <c r="AM41" s="78" t="str">
        <f>IF(B41=0," ",(AL12)+(AC41))</f>
        <v> </v>
      </c>
      <c r="AN41" s="78" t="str">
        <f>IF(B41=0," ",(AH12)+(AB41))</f>
        <v> </v>
      </c>
      <c r="AO41" s="79" t="str">
        <f t="shared" si="8"/>
        <v> </v>
      </c>
      <c r="AQ41" s="1"/>
    </row>
    <row r="42" spans="1:43" ht="18" customHeight="1">
      <c r="A42" s="227"/>
      <c r="B42" s="228"/>
      <c r="C42" s="228"/>
      <c r="D42" s="228"/>
      <c r="E42" s="229"/>
      <c r="F42" s="211" t="str">
        <f t="shared" si="7"/>
        <v> </v>
      </c>
      <c r="G42" s="212" t="str">
        <f t="shared" si="7"/>
        <v> </v>
      </c>
      <c r="H42" s="214" t="str">
        <f t="shared" si="7"/>
        <v> </v>
      </c>
      <c r="I42" s="70" t="str">
        <f>IF(B42=0," ",(10000000-(D12+B42)/2))</f>
        <v> </v>
      </c>
      <c r="J42" s="55" t="str">
        <f>IF(B42=0," ",((500000-(AL12+AA42)/2)*0.000001))</f>
        <v> </v>
      </c>
      <c r="K42" s="55" t="str">
        <f t="shared" si="0"/>
        <v> </v>
      </c>
      <c r="L42" s="55" t="str">
        <f>IF(B42=0," ",(ABS(-1*((SIN(2*AG42*PI()/180)*L49))+((SIN(4*AG42*PI()/180)*L50))+(((SIN(6*AG42*PI()/180)*AH46))*-1))))</f>
        <v> </v>
      </c>
      <c r="M42" s="57" t="str">
        <f>IF(B42=0," ",(ABS(-1*((SIN(2*AF42*PI()/180)*L49))+((SIN(4*AF42*PI()/180)*L50))+(((SIN(6*AF42*PI()/180)*AH46))*-1))))</f>
        <v> </v>
      </c>
      <c r="N42" s="57" t="str">
        <f>IF(B42=0," ",(ABS(-1*((SIN(2*AE42*PI()/180)*L49))+((SIN(4*AE42*PI()/180)*L50))+(((SIN(6*AE42*PI()/180)*AH46))*-1))))</f>
        <v> </v>
      </c>
      <c r="O42" s="80" t="str">
        <f>IF(B42=0," ",(POWER(L51/(SQRT(ABS(POWER(SIN(AD42*PI()/180),2)*AH47-1))),2)))</f>
        <v> </v>
      </c>
      <c r="P42" s="81" t="str">
        <f>IF(B42=0," ",(-1*(1/(O42*2*(SIN(0.0001/0.36)*PI()/180)/TAN(AD42*PI()/180))*(POWER(COS(AD42*PI()/180),2)*AH48+1)*(1/(0.99920016)*1000000000000*K42))))</f>
        <v> </v>
      </c>
      <c r="Q42" s="82" t="str">
        <f>IF(B42=0," ",(POWER(TAN(AD42*PI()/180),2)*3+5)+(AH48*6)*(POWER(COS(AD42*PI()/180),2))-(AH48*6)*(POWER(SIN(AD42*PI()/180),2)))</f>
        <v> </v>
      </c>
      <c r="R42" s="62" t="str">
        <f>IF(B42=0," ",((Q42-(3*(POWER(AH48,2))*(POWER(POWER(COS(AD42*PI()/180),2),2)))-((POWER(AH48,2))*9)*(POWER(COS(AD42*PI()/180),2))*(POWER(SIN(AD42*PI()/180),2))))*1.001601601809*1E+24)</f>
        <v> </v>
      </c>
      <c r="S42" s="83" t="str">
        <f>IF(B42=0," ",(((POWER(COS((TAN(AD42*PI()/180)/(POWER(O42,2)*(24*L56))*POWER(K42,2)+P42/3600+AD42)*PI()/180),2))*AH48+1)/(O42*2)*(1/0.99920016)*1000000000000))</f>
        <v> </v>
      </c>
      <c r="T42" s="84" t="str">
        <f>IF(B42=0," ",((B42-AH12)))</f>
        <v> </v>
      </c>
      <c r="U42" s="85" t="str">
        <f>IF(B42=0," ",((AA42-AL12)))</f>
        <v> </v>
      </c>
      <c r="V42" s="86" t="str">
        <f>IF(B42=0," ",(SQRT(POWER(AL12-AA42,2)+POWER(AH12-B42,2))))</f>
        <v> </v>
      </c>
      <c r="W42" s="67" t="str">
        <f>IF(B42=0," ",((ATAN((AL12-AA42)/(AH12-B42)))*180/PI()))</f>
        <v> </v>
      </c>
      <c r="X42" s="87" t="str">
        <f t="shared" si="1"/>
        <v> </v>
      </c>
      <c r="Y42" s="88" t="str">
        <f>IF(B42=0," ",((((AA42-500000)*(0.000001)*S51)+(POWER(S51,2))+(POWER((AA42-500000)*0.000001,2)))/3))</f>
        <v> </v>
      </c>
      <c r="Z42" s="88" t="str">
        <f t="shared" si="2"/>
        <v> </v>
      </c>
      <c r="AA42" s="70" t="str">
        <f t="shared" si="3"/>
        <v> </v>
      </c>
      <c r="AB42" s="87" t="str">
        <f t="shared" si="4"/>
        <v> </v>
      </c>
      <c r="AC42" s="87" t="str">
        <f t="shared" si="5"/>
        <v> </v>
      </c>
      <c r="AD42" s="72" t="str">
        <f>IF(B42=0," ",((I42/0.9996+N42)/L48))</f>
        <v> </v>
      </c>
      <c r="AE42" s="72" t="str">
        <f>IF(B42=0," ",(((I42/0.9996+M42)/L48)))</f>
        <v> </v>
      </c>
      <c r="AF42" s="72" t="str">
        <f>IF(B42=0," ",(((I42/0.9996+L42)/L48)))</f>
        <v> </v>
      </c>
      <c r="AG42" s="73" t="str">
        <f>IF(B42=0," ",(I42/L48))</f>
        <v> </v>
      </c>
      <c r="AH42" s="74" t="str">
        <f t="shared" si="6"/>
        <v> </v>
      </c>
      <c r="AI42" s="70" t="str">
        <f>IF(B42=0," ",(AM12+AH42)/2)</f>
        <v> </v>
      </c>
      <c r="AJ42" s="75">
        <f>IF(B42=0,"",(V42-(AI42/B6)*V42)*Z42)</f>
      </c>
      <c r="AK42" s="76">
        <f>IF(B42=0,"",((V42/Z42)*B6)/(B6-AI42))</f>
      </c>
      <c r="AL42" s="77">
        <f>IF(AJ16=0,AK42,AJ42)</f>
      </c>
      <c r="AM42" s="78" t="str">
        <f>IF(B42=0," ",(AL12)+(AC42))</f>
        <v> </v>
      </c>
      <c r="AN42" s="78" t="str">
        <f>IF(B42=0," ",(AH12)+(AB42))</f>
        <v> </v>
      </c>
      <c r="AO42" s="79" t="str">
        <f t="shared" si="8"/>
        <v> </v>
      </c>
      <c r="AQ42" s="1"/>
    </row>
    <row r="43" spans="1:43" ht="11.25" customHeight="1" hidden="1">
      <c r="A43" s="90"/>
      <c r="B43" s="91"/>
      <c r="C43" s="91"/>
      <c r="D43" s="91"/>
      <c r="E43" s="91"/>
      <c r="F43" s="91"/>
      <c r="G43" s="91"/>
      <c r="H43" s="171"/>
      <c r="I43" s="91"/>
      <c r="J43" s="92"/>
      <c r="K43" s="92"/>
      <c r="L43" s="92"/>
      <c r="M43" s="93"/>
      <c r="N43" s="93"/>
      <c r="O43" s="94"/>
      <c r="P43" s="95"/>
      <c r="Q43" s="96"/>
      <c r="R43" s="97"/>
      <c r="S43" s="98"/>
      <c r="T43" s="98"/>
      <c r="U43" s="99"/>
      <c r="V43" s="100"/>
      <c r="W43" s="101"/>
      <c r="X43" s="102"/>
      <c r="Y43" s="103"/>
      <c r="Z43" s="103"/>
      <c r="AA43" s="101"/>
      <c r="AB43" s="102"/>
      <c r="AC43" s="102"/>
      <c r="AD43" s="104"/>
      <c r="AE43" s="104"/>
      <c r="AF43" s="104"/>
      <c r="AG43" s="105"/>
      <c r="AH43" s="91"/>
      <c r="AI43" s="106"/>
      <c r="AJ43" s="106"/>
      <c r="AK43" s="106"/>
      <c r="AL43" s="107"/>
      <c r="AM43" s="108"/>
      <c r="AN43" s="108"/>
      <c r="AO43" s="109"/>
      <c r="AQ43" s="1"/>
    </row>
    <row r="44" spans="1:43" ht="13.5" hidden="1">
      <c r="A44" s="1"/>
      <c r="B44" s="110" t="s">
        <v>44</v>
      </c>
      <c r="C44" s="111" t="s">
        <v>45</v>
      </c>
      <c r="D44" s="112" t="s">
        <v>46</v>
      </c>
      <c r="E44" s="112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99"/>
      <c r="V44" s="105"/>
      <c r="W44" s="105"/>
      <c r="X44" s="102"/>
      <c r="Y44" s="105"/>
      <c r="Z44" s="105"/>
      <c r="AA44" s="105"/>
      <c r="AB44" s="105"/>
      <c r="AC44" s="105"/>
      <c r="AD44" s="105"/>
      <c r="AE44" s="105"/>
      <c r="AF44" s="105"/>
      <c r="AG44" s="105"/>
      <c r="AH44" s="91"/>
      <c r="AI44" s="106"/>
      <c r="AJ44" s="106"/>
      <c r="AK44" s="106"/>
      <c r="AL44" s="91"/>
      <c r="AM44" s="113"/>
      <c r="AN44" s="105"/>
      <c r="AO44" s="105"/>
      <c r="AQ44" s="1"/>
    </row>
    <row r="45" spans="1:43" ht="12.75" customHeight="1" hidden="1">
      <c r="A45" s="114" t="s">
        <v>2</v>
      </c>
      <c r="B45" s="115">
        <v>6378388</v>
      </c>
      <c r="C45" s="116">
        <v>6378160</v>
      </c>
      <c r="D45" s="117">
        <v>6378137</v>
      </c>
      <c r="E45" s="117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99"/>
      <c r="V45" s="40"/>
      <c r="W45" s="40"/>
      <c r="X45" s="102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106"/>
      <c r="AJ45" s="106"/>
      <c r="AK45" s="106"/>
      <c r="AL45" s="40"/>
      <c r="AM45" s="40"/>
      <c r="AN45" s="40"/>
      <c r="AO45" s="40"/>
      <c r="AQ45" s="1"/>
    </row>
    <row r="46" spans="1:43" ht="13.5" hidden="1">
      <c r="A46" s="118" t="s">
        <v>4</v>
      </c>
      <c r="B46" s="115">
        <v>6356911.9462</v>
      </c>
      <c r="C46" s="116">
        <v>6356774.7192</v>
      </c>
      <c r="D46" s="117">
        <v>6356752.3142</v>
      </c>
      <c r="E46" s="117"/>
      <c r="F46" s="1"/>
      <c r="G46" s="1"/>
      <c r="H46" s="1"/>
      <c r="I46" s="1"/>
      <c r="J46" s="1"/>
      <c r="K46" s="1"/>
      <c r="L46" s="40"/>
      <c r="M46" s="40"/>
      <c r="N46" s="40"/>
      <c r="O46" s="40"/>
      <c r="P46" s="40"/>
      <c r="Q46" s="40"/>
      <c r="R46" s="40"/>
      <c r="S46" s="40"/>
      <c r="T46" s="40"/>
      <c r="U46" s="99"/>
      <c r="V46" s="40"/>
      <c r="W46" s="40"/>
      <c r="X46" s="102"/>
      <c r="Y46" s="40"/>
      <c r="Z46" s="40"/>
      <c r="AA46" s="40"/>
      <c r="AB46" s="40"/>
      <c r="AC46" s="40"/>
      <c r="AD46" s="40"/>
      <c r="AE46" s="40"/>
      <c r="AF46" s="40"/>
      <c r="AG46" s="119" t="s">
        <v>47</v>
      </c>
      <c r="AH46" s="120">
        <f>L53</f>
        <v>0.022265933881384436</v>
      </c>
      <c r="AI46" s="106"/>
      <c r="AJ46" s="106"/>
      <c r="AK46" s="106"/>
      <c r="AL46" s="40"/>
      <c r="AM46" s="40"/>
      <c r="AN46" s="40"/>
      <c r="AO46" s="40"/>
      <c r="AQ46" s="1"/>
    </row>
    <row r="47" spans="1:43" ht="13.5" hidden="1">
      <c r="A47" s="121" t="s">
        <v>2</v>
      </c>
      <c r="B47" s="122">
        <f>$B$6</f>
        <v>6378388</v>
      </c>
      <c r="C47" s="123" t="s">
        <v>48</v>
      </c>
      <c r="D47" s="124">
        <f>1+(3/4)*J48+(45/64)*J49+(175/256)*J50+(11025/16384)*J51+(43659/65536)*J52</f>
        <v>1.0050739888137274</v>
      </c>
      <c r="E47" s="124"/>
      <c r="F47" s="123" t="s">
        <v>49</v>
      </c>
      <c r="G47" s="123"/>
      <c r="H47" s="123"/>
      <c r="I47" s="123"/>
      <c r="J47" s="125">
        <f>B49</f>
        <v>0.08199188984171679</v>
      </c>
      <c r="K47" s="126"/>
      <c r="L47" s="127" t="s">
        <v>50</v>
      </c>
      <c r="M47" s="128"/>
      <c r="N47" s="128"/>
      <c r="O47" s="40"/>
      <c r="P47" s="40"/>
      <c r="Q47" s="40"/>
      <c r="R47" s="40"/>
      <c r="S47" s="40"/>
      <c r="T47" s="40"/>
      <c r="U47" s="99"/>
      <c r="V47" s="40"/>
      <c r="W47" s="40"/>
      <c r="X47" s="102"/>
      <c r="Y47" s="40"/>
      <c r="Z47" s="40"/>
      <c r="AA47" s="40"/>
      <c r="AB47" s="40"/>
      <c r="AC47" s="40"/>
      <c r="AD47" s="40"/>
      <c r="AE47" s="40"/>
      <c r="AF47" s="40"/>
      <c r="AG47" s="129" t="s">
        <v>51</v>
      </c>
      <c r="AH47" s="130">
        <f>L54</f>
        <v>0.006722669999816221</v>
      </c>
      <c r="AI47" s="106"/>
      <c r="AJ47" s="106"/>
      <c r="AK47" s="106"/>
      <c r="AL47" s="40"/>
      <c r="AM47" s="40"/>
      <c r="AN47" s="40"/>
      <c r="AO47" s="40"/>
      <c r="AQ47" s="1"/>
    </row>
    <row r="48" spans="1:43" ht="14.25" hidden="1">
      <c r="A48" s="121" t="s">
        <v>4</v>
      </c>
      <c r="B48" s="122">
        <f>$B$7</f>
        <v>6356911.9462</v>
      </c>
      <c r="C48" s="123" t="s">
        <v>52</v>
      </c>
      <c r="D48" s="131">
        <f>(3/4)*J48+(15/16)*J49+(525/512)*J50+(2205/2048)*J51+(72765/65536)*J52</f>
        <v>0.005084685903543685</v>
      </c>
      <c r="E48" s="131"/>
      <c r="F48" s="132" t="s">
        <v>53</v>
      </c>
      <c r="G48" s="132"/>
      <c r="H48" s="132"/>
      <c r="I48" s="132"/>
      <c r="J48" s="125">
        <f>POWER(J47,2)</f>
        <v>0.006722669999816221</v>
      </c>
      <c r="K48" s="133" t="s">
        <v>54</v>
      </c>
      <c r="L48" s="134">
        <f>B53</f>
        <v>111136.53665605973</v>
      </c>
      <c r="M48" s="135"/>
      <c r="N48" s="135"/>
      <c r="O48" s="40"/>
      <c r="P48" s="40"/>
      <c r="Q48" s="40"/>
      <c r="R48" s="40"/>
      <c r="S48" s="40"/>
      <c r="T48" s="40"/>
      <c r="U48" s="99"/>
      <c r="V48" s="40"/>
      <c r="W48" s="40"/>
      <c r="X48" s="102"/>
      <c r="Y48" s="40"/>
      <c r="Z48" s="40"/>
      <c r="AA48" s="40"/>
      <c r="AB48" s="40"/>
      <c r="AC48" s="40"/>
      <c r="AD48" s="40"/>
      <c r="AE48" s="40"/>
      <c r="AF48" s="40"/>
      <c r="AG48" s="136" t="s">
        <v>55</v>
      </c>
      <c r="AH48" s="130">
        <f>L55</f>
        <v>0.0067681701744013185</v>
      </c>
      <c r="AI48" s="106"/>
      <c r="AJ48" s="106"/>
      <c r="AK48" s="106"/>
      <c r="AL48" s="40"/>
      <c r="AM48" s="40"/>
      <c r="AN48" s="40"/>
      <c r="AO48" s="40"/>
      <c r="AQ48" s="1"/>
    </row>
    <row r="49" spans="1:43" ht="14.25" hidden="1">
      <c r="A49" s="132" t="s">
        <v>49</v>
      </c>
      <c r="B49" s="131">
        <f>SQRT(POWER(B47,2)-POWER(B48,2))/B47</f>
        <v>0.08199188984171679</v>
      </c>
      <c r="C49" s="123" t="s">
        <v>56</v>
      </c>
      <c r="D49" s="137">
        <f>(15/64)*J49+(105/256)*J50+(2205/4096)*J51+(10395/16384)*J52</f>
        <v>1.071813669445103E-05</v>
      </c>
      <c r="E49" s="137"/>
      <c r="F49" s="132" t="s">
        <v>57</v>
      </c>
      <c r="G49" s="132"/>
      <c r="H49" s="132"/>
      <c r="I49" s="132"/>
      <c r="J49" s="125">
        <f>POWER(J47,4)</f>
        <v>4.519429192642903E-05</v>
      </c>
      <c r="K49" s="138" t="s">
        <v>58</v>
      </c>
      <c r="L49" s="139">
        <f>B54</f>
        <v>16107.034624125048</v>
      </c>
      <c r="M49" s="140"/>
      <c r="N49" s="140"/>
      <c r="O49" s="40"/>
      <c r="P49" s="40"/>
      <c r="Q49" s="40"/>
      <c r="R49" s="40"/>
      <c r="S49" s="40"/>
      <c r="T49" s="40"/>
      <c r="U49" s="99"/>
      <c r="V49" s="40"/>
      <c r="W49" s="40"/>
      <c r="X49" s="102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106"/>
      <c r="AJ49" s="106"/>
      <c r="AK49" s="106"/>
      <c r="AL49" s="40"/>
      <c r="AM49" s="40"/>
      <c r="AN49" s="40"/>
      <c r="AO49" s="40"/>
      <c r="AQ49" s="1"/>
    </row>
    <row r="50" spans="1:43" ht="14.25" hidden="1">
      <c r="A50" s="132" t="s">
        <v>53</v>
      </c>
      <c r="B50" s="131">
        <f>POWER(B49,2)</f>
        <v>0.006722669999816221</v>
      </c>
      <c r="C50" s="123" t="s">
        <v>59</v>
      </c>
      <c r="D50" s="137">
        <f>(35/512)*J50+(315/2048)*J51+(31185/131072)*J52</f>
        <v>2.108680140905722E-08</v>
      </c>
      <c r="E50" s="137"/>
      <c r="F50" s="132" t="s">
        <v>60</v>
      </c>
      <c r="G50" s="132"/>
      <c r="H50" s="132"/>
      <c r="I50" s="132"/>
      <c r="J50" s="125">
        <f>POWER(J47,6)</f>
        <v>3.038263104967409E-07</v>
      </c>
      <c r="K50" s="133" t="s">
        <v>61</v>
      </c>
      <c r="L50" s="141">
        <f>D53</f>
        <v>16.976210735387923</v>
      </c>
      <c r="M50" s="142"/>
      <c r="N50" s="142"/>
      <c r="O50" s="130"/>
      <c r="P50" s="130"/>
      <c r="Q50" s="130"/>
      <c r="R50" s="130"/>
      <c r="S50" s="130"/>
      <c r="T50" s="130"/>
      <c r="U50" s="99"/>
      <c r="V50" s="130"/>
      <c r="W50" s="130"/>
      <c r="X50" s="102"/>
      <c r="Y50" s="130"/>
      <c r="Z50" s="130"/>
      <c r="AA50" s="130"/>
      <c r="AB50" s="130"/>
      <c r="AC50" s="130"/>
      <c r="AD50" s="130"/>
      <c r="AE50" s="130"/>
      <c r="AF50" s="130"/>
      <c r="AG50" s="130"/>
      <c r="AH50" s="40"/>
      <c r="AI50" s="106"/>
      <c r="AJ50" s="106"/>
      <c r="AK50" s="106"/>
      <c r="AL50" s="40"/>
      <c r="AM50" s="40"/>
      <c r="AN50" s="40"/>
      <c r="AO50" s="40"/>
      <c r="AQ50" s="1"/>
    </row>
    <row r="51" spans="1:43" ht="0.75" customHeight="1" hidden="1">
      <c r="A51" s="132" t="s">
        <v>62</v>
      </c>
      <c r="B51" s="131">
        <f>SQRT(POWER(B47,2)-POWER(B48,2))/B48</f>
        <v>0.08226888946862793</v>
      </c>
      <c r="C51" s="123" t="s">
        <v>63</v>
      </c>
      <c r="D51" s="137">
        <f>(315/16384)*J51+(3465/65536)*J52</f>
        <v>3.9995711189540686E-11</v>
      </c>
      <c r="E51" s="137"/>
      <c r="F51" s="143" t="s">
        <v>64</v>
      </c>
      <c r="G51" s="143"/>
      <c r="H51" s="143"/>
      <c r="I51" s="143"/>
      <c r="J51" s="125">
        <f>POWER(J47,8)</f>
        <v>2.042524022731288E-09</v>
      </c>
      <c r="K51" s="144" t="s">
        <v>54</v>
      </c>
      <c r="L51" s="145">
        <f>B47</f>
        <v>6378388</v>
      </c>
      <c r="M51" s="142"/>
      <c r="N51" s="142"/>
      <c r="O51" s="130"/>
      <c r="P51" s="130"/>
      <c r="Q51" s="130"/>
      <c r="R51" s="130"/>
      <c r="S51" s="146">
        <f>L57</f>
        <v>-0.06588993900000001</v>
      </c>
      <c r="T51" s="146"/>
      <c r="U51" s="99"/>
      <c r="V51" s="130"/>
      <c r="W51" s="130"/>
      <c r="X51" s="102"/>
      <c r="Y51" s="130"/>
      <c r="Z51" s="130"/>
      <c r="AA51" s="130"/>
      <c r="AB51" s="130"/>
      <c r="AC51" s="130"/>
      <c r="AD51" s="130"/>
      <c r="AE51" s="130"/>
      <c r="AF51" s="130"/>
      <c r="AG51" s="130"/>
      <c r="AH51" s="40"/>
      <c r="AI51" s="106"/>
      <c r="AJ51" s="106"/>
      <c r="AK51" s="106"/>
      <c r="AL51" s="40"/>
      <c r="AM51" s="40"/>
      <c r="AN51" s="40"/>
      <c r="AO51" s="40"/>
      <c r="AQ51" s="1"/>
    </row>
    <row r="52" spans="1:43" ht="14.25" hidden="1">
      <c r="A52" s="132" t="s">
        <v>65</v>
      </c>
      <c r="B52" s="131">
        <f>POWER(B51,2)</f>
        <v>0.0067681701744013185</v>
      </c>
      <c r="C52" s="123" t="s">
        <v>66</v>
      </c>
      <c r="D52" s="137">
        <f>(639/131072)*J52</f>
        <v>6.69421872467118E-14</v>
      </c>
      <c r="E52" s="137"/>
      <c r="F52" s="132" t="s">
        <v>67</v>
      </c>
      <c r="G52" s="132"/>
      <c r="H52" s="132"/>
      <c r="I52" s="132"/>
      <c r="J52" s="125">
        <f>POWER(J47,10)</f>
        <v>1.3731214971519576E-11</v>
      </c>
      <c r="K52" s="147" t="s">
        <v>58</v>
      </c>
      <c r="L52" s="148">
        <f>B48</f>
        <v>6356911.9462</v>
      </c>
      <c r="M52" s="149"/>
      <c r="N52" s="142"/>
      <c r="O52" s="150"/>
      <c r="P52" s="150"/>
      <c r="Q52" s="150"/>
      <c r="R52" s="150"/>
      <c r="S52" s="150"/>
      <c r="T52" s="150"/>
      <c r="U52" s="99" t="e">
        <f>IF(#REF!=0," ",((AA52-AL46)))</f>
        <v>#REF!</v>
      </c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40"/>
      <c r="AI52" s="106" t="e">
        <f>IF(#REF!=0," ",(AM46+AH52)/2)</f>
        <v>#REF!</v>
      </c>
      <c r="AJ52" s="106"/>
      <c r="AK52" s="106"/>
      <c r="AL52" s="40"/>
      <c r="AM52" s="40"/>
      <c r="AN52" s="40"/>
      <c r="AO52" s="40"/>
      <c r="AQ52" s="1"/>
    </row>
    <row r="53" spans="1:43" ht="13.5" hidden="1">
      <c r="A53" s="151" t="s">
        <v>2</v>
      </c>
      <c r="B53" s="152">
        <f>D47*B47*(1-B50)*PI()/180</f>
        <v>111136.53665605973</v>
      </c>
      <c r="C53" s="153" t="s">
        <v>68</v>
      </c>
      <c r="D53" s="154">
        <f>D49*B47*(1-B50)/4</f>
        <v>16.976210735387923</v>
      </c>
      <c r="E53" s="154"/>
      <c r="F53" s="151" t="s">
        <v>49</v>
      </c>
      <c r="G53" s="151"/>
      <c r="H53" s="151"/>
      <c r="I53" s="151"/>
      <c r="J53" s="155">
        <f>D51*B47*(1-B50)/8</f>
        <v>3.167414453749565E-05</v>
      </c>
      <c r="K53" s="133" t="s">
        <v>47</v>
      </c>
      <c r="L53" s="156">
        <f>D54</f>
        <v>0.022265933881384436</v>
      </c>
      <c r="M53" s="142"/>
      <c r="N53" s="142"/>
      <c r="O53" s="40"/>
      <c r="P53" s="40"/>
      <c r="Q53" s="40"/>
      <c r="R53" s="40"/>
      <c r="S53" s="40"/>
      <c r="T53" s="40"/>
      <c r="U53" s="99" t="e">
        <f>IF(#REF!=0," ",((AA53-AL47)))</f>
        <v>#REF!</v>
      </c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106" t="e">
        <f>IF(#REF!=0," ",(AM47+AH53)/2)</f>
        <v>#REF!</v>
      </c>
      <c r="AJ53" s="106"/>
      <c r="AK53" s="106"/>
      <c r="AL53" s="40"/>
      <c r="AM53" s="40"/>
      <c r="AN53" s="40"/>
      <c r="AO53" s="40"/>
      <c r="AQ53" s="1"/>
    </row>
    <row r="54" spans="1:43" ht="13.5" hidden="1">
      <c r="A54" s="151" t="s">
        <v>4</v>
      </c>
      <c r="B54" s="157">
        <f>D48*B47*(1-B50)/2</f>
        <v>16107.034624125048</v>
      </c>
      <c r="C54" s="153" t="s">
        <v>69</v>
      </c>
      <c r="D54" s="158">
        <f>D50*B47*(1-B50)/6</f>
        <v>0.022265933881384436</v>
      </c>
      <c r="E54" s="158"/>
      <c r="F54" s="151" t="s">
        <v>70</v>
      </c>
      <c r="G54" s="151"/>
      <c r="H54" s="151"/>
      <c r="I54" s="151"/>
      <c r="J54" s="155">
        <f>D52*B47*(1-B50)/10</f>
        <v>4.241127763844717E-08</v>
      </c>
      <c r="K54" s="159" t="s">
        <v>71</v>
      </c>
      <c r="L54" s="141">
        <f>B50</f>
        <v>0.006722669999816221</v>
      </c>
      <c r="M54" s="142"/>
      <c r="N54" s="142"/>
      <c r="O54" s="40"/>
      <c r="P54" s="40"/>
      <c r="Q54" s="40"/>
      <c r="R54" s="40"/>
      <c r="S54" s="40"/>
      <c r="T54" s="40"/>
      <c r="U54" s="99" t="e">
        <f>IF(#REF!=0," ",((AA54-AL48)))</f>
        <v>#REF!</v>
      </c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106" t="e">
        <f>IF(#REF!=0," ",(AM48+AH54)/2)</f>
        <v>#REF!</v>
      </c>
      <c r="AJ54" s="106"/>
      <c r="AK54" s="106"/>
      <c r="AL54" s="40"/>
      <c r="AM54" s="40"/>
      <c r="AN54" s="40"/>
      <c r="AO54" s="40"/>
      <c r="AQ54" s="1"/>
    </row>
    <row r="55" spans="1:43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47" t="s">
        <v>72</v>
      </c>
      <c r="L55" s="141">
        <f>B52</f>
        <v>0.0067681701744013185</v>
      </c>
      <c r="M55" s="142"/>
      <c r="N55" s="142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Q55" s="1"/>
    </row>
    <row r="56" spans="1:43" ht="14.25" customHeight="1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60" t="s">
        <v>73</v>
      </c>
      <c r="L56" s="161">
        <v>4.84814E-06</v>
      </c>
      <c r="M56" s="142"/>
      <c r="N56" s="162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Q56" s="1"/>
    </row>
    <row r="57" spans="2:43" ht="12.75" hidden="1">
      <c r="B57" s="1"/>
      <c r="C57" s="1"/>
      <c r="D57" s="1"/>
      <c r="E57" s="1"/>
      <c r="F57" s="1"/>
      <c r="G57" s="1"/>
      <c r="H57" s="1"/>
      <c r="I57" s="1"/>
      <c r="J57" s="1"/>
      <c r="K57" s="127"/>
      <c r="L57" s="163">
        <f>((AL12-500000)*0.000001)</f>
        <v>-0.06588993900000001</v>
      </c>
      <c r="M57" s="141" t="s">
        <v>20</v>
      </c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Q57" s="1"/>
    </row>
    <row r="58" spans="1:43" ht="12.75" hidden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Q58" s="1"/>
    </row>
    <row r="59" spans="1:4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Q59" s="1"/>
    </row>
    <row r="60" spans="1:4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Q60" s="1"/>
    </row>
    <row r="61" spans="1:4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Q61" s="1"/>
    </row>
    <row r="62" spans="1:4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Q62" s="1"/>
    </row>
    <row r="63" spans="1:4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Q63" s="1"/>
    </row>
    <row r="64" spans="1:4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Q64" s="1"/>
    </row>
    <row r="65" spans="1:4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Q65" s="1"/>
    </row>
    <row r="66" spans="1:4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Q66" s="1"/>
    </row>
    <row r="67" spans="1:4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Q67" s="1"/>
    </row>
    <row r="68" spans="1:4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Q68" s="1"/>
    </row>
    <row r="69" spans="1:4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Q69" s="1"/>
    </row>
    <row r="70" spans="1:4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Q70" s="1"/>
    </row>
    <row r="71" spans="1:4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Q71" s="1"/>
    </row>
    <row r="72" spans="1:4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Q72" s="1"/>
    </row>
    <row r="73" spans="1:4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Q73" s="1"/>
    </row>
    <row r="74" spans="1:4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Q74" s="1"/>
    </row>
    <row r="75" spans="1:4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Q75" s="1"/>
    </row>
    <row r="76" spans="1:4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Q76" s="1"/>
    </row>
    <row r="77" spans="1:4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Q77" s="1"/>
    </row>
    <row r="78" spans="1:4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Q78" s="1"/>
    </row>
    <row r="79" spans="1:4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Q79" s="1"/>
    </row>
    <row r="80" spans="1:4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Q80" s="1"/>
    </row>
    <row r="81" spans="1:4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Q81" s="1"/>
    </row>
    <row r="82" spans="1:4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Q82" s="1"/>
    </row>
    <row r="83" spans="1:4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Q83" s="1"/>
    </row>
    <row r="84" spans="1:4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Q84" s="1"/>
    </row>
    <row r="85" spans="1:4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Q85" s="1"/>
    </row>
    <row r="86" spans="1:4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Q86" s="1"/>
    </row>
    <row r="87" spans="1:4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Q87" s="1"/>
    </row>
    <row r="88" spans="1:4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Q88" s="1"/>
    </row>
    <row r="89" spans="1:4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Q89" s="1"/>
    </row>
    <row r="90" spans="1:4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Q90" s="1"/>
    </row>
    <row r="91" spans="1:4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Q91" s="1"/>
    </row>
    <row r="92" spans="1:4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Q92" s="1"/>
    </row>
    <row r="93" spans="1:4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Q93" s="1"/>
    </row>
    <row r="94" spans="1:4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Q94" s="1"/>
    </row>
    <row r="95" spans="1:4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Q95" s="1"/>
    </row>
    <row r="96" spans="1:4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Q96" s="1"/>
    </row>
    <row r="97" spans="1:4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Q97" s="1"/>
    </row>
    <row r="98" spans="1:4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Q98" s="1"/>
    </row>
    <row r="99" spans="1:4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Q99" s="1"/>
    </row>
    <row r="100" spans="1:4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Q100" s="1"/>
    </row>
    <row r="101" spans="1:4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Q101" s="1"/>
    </row>
    <row r="102" spans="1:4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Q102" s="1"/>
    </row>
    <row r="103" spans="1:4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Q103" s="1"/>
    </row>
    <row r="104" spans="1:4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Q104" s="1"/>
    </row>
    <row r="105" spans="1:4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Q105" s="1"/>
    </row>
    <row r="106" spans="1:4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Q106" s="1"/>
    </row>
    <row r="107" spans="1:4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Q107" s="1"/>
    </row>
    <row r="108" spans="1:4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Q108" s="1"/>
    </row>
    <row r="109" spans="1:4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Q109" s="1"/>
    </row>
    <row r="110" spans="1:4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Q110" s="1"/>
    </row>
    <row r="111" spans="1:4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Q111" s="1"/>
    </row>
    <row r="112" spans="1:4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Q112" s="1"/>
    </row>
    <row r="113" spans="1:4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Q113" s="1"/>
    </row>
    <row r="114" spans="1:4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Q114" s="1"/>
    </row>
    <row r="115" spans="1:4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Q115" s="1"/>
    </row>
    <row r="116" spans="1:4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Q116" s="1"/>
    </row>
    <row r="117" spans="1:4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Q117" s="1"/>
    </row>
    <row r="118" spans="1:4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Q118" s="1"/>
    </row>
    <row r="119" spans="1:4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Q119" s="1"/>
    </row>
    <row r="120" spans="1:4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Q120" s="1"/>
    </row>
    <row r="121" spans="1:4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Q121" s="1"/>
    </row>
    <row r="122" spans="1:4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Q122" s="1"/>
    </row>
    <row r="123" spans="1:4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Q123" s="1"/>
    </row>
    <row r="124" spans="1:4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Q124" s="1"/>
    </row>
    <row r="125" spans="1:4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Q125" s="1"/>
    </row>
    <row r="126" spans="1:4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Q126" s="1"/>
    </row>
    <row r="127" spans="1:4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Q127" s="1"/>
    </row>
    <row r="128" spans="1:4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Q128" s="1"/>
    </row>
    <row r="129" spans="1:4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Q129" s="1"/>
    </row>
    <row r="130" spans="1:4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Q130" s="1"/>
    </row>
    <row r="131" spans="1:4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Q131" s="1"/>
    </row>
    <row r="132" spans="1:4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Q132" s="1"/>
    </row>
    <row r="133" spans="1:4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Q133" s="1"/>
    </row>
    <row r="134" spans="1:4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Q134" s="1"/>
    </row>
    <row r="135" spans="1:4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Q135" s="1"/>
    </row>
    <row r="136" spans="1:4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Q136" s="1"/>
    </row>
    <row r="137" spans="1:4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Q137" s="1"/>
    </row>
    <row r="138" spans="1:4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Q138" s="1"/>
    </row>
    <row r="139" spans="1:4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Q139" s="1"/>
    </row>
    <row r="140" spans="1:4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Q140" s="1"/>
    </row>
    <row r="141" spans="1:4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Q141" s="1"/>
    </row>
    <row r="142" spans="1:4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Q142" s="1"/>
    </row>
    <row r="143" spans="1:4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Q143" s="1"/>
    </row>
    <row r="144" spans="1:4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Q144" s="1"/>
    </row>
    <row r="145" spans="1:4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Q145" s="1"/>
    </row>
    <row r="146" spans="1:4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Q146" s="1"/>
    </row>
    <row r="147" spans="1:4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Q147" s="1"/>
    </row>
    <row r="148" spans="1:4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Q148" s="1"/>
    </row>
    <row r="149" spans="1:4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Q149" s="1"/>
    </row>
    <row r="150" spans="1:4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Q150" s="1"/>
    </row>
    <row r="151" spans="1:4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Q151" s="1"/>
    </row>
    <row r="152" spans="1:4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Q152" s="1"/>
    </row>
    <row r="153" spans="1:4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Q153" s="1"/>
    </row>
    <row r="154" spans="1:4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Q154" s="1"/>
    </row>
    <row r="155" spans="1:4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Q155" s="1"/>
    </row>
    <row r="156" spans="1:4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Q156" s="1"/>
    </row>
    <row r="157" spans="1:4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Q157" s="1"/>
    </row>
    <row r="158" spans="1:4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Q158" s="1"/>
    </row>
    <row r="159" spans="1:4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Q159" s="1"/>
    </row>
    <row r="160" spans="1:4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Q160" s="1"/>
    </row>
    <row r="161" spans="1:4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Q161" s="1"/>
    </row>
    <row r="162" spans="1:4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Q162" s="1"/>
    </row>
    <row r="163" spans="1:4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Q163" s="1"/>
    </row>
    <row r="164" spans="1:4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Q164" s="1"/>
    </row>
    <row r="165" spans="1:4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Q165" s="1"/>
    </row>
    <row r="166" spans="1:4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Q166" s="1"/>
    </row>
    <row r="167" spans="1:4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Q167" s="1"/>
    </row>
    <row r="168" spans="1:4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Q168" s="1"/>
    </row>
    <row r="169" spans="1:4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Q169" s="1"/>
    </row>
    <row r="170" spans="1:4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Q170" s="1"/>
    </row>
    <row r="171" spans="1:4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Q171" s="1"/>
    </row>
    <row r="172" spans="1:4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Q172" s="1"/>
    </row>
    <row r="173" spans="1:4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Q173" s="1"/>
    </row>
    <row r="174" spans="1:4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Q174" s="1"/>
    </row>
    <row r="175" spans="1:4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Q175" s="1"/>
    </row>
    <row r="176" spans="1:4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Q176" s="1"/>
    </row>
    <row r="177" spans="1:4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Q177" s="1"/>
    </row>
    <row r="178" spans="1:4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Q178" s="1"/>
    </row>
    <row r="179" spans="1:4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Q179" s="1"/>
    </row>
    <row r="180" spans="1:4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Q180" s="1"/>
    </row>
    <row r="181" spans="1:4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Q181" s="1"/>
    </row>
  </sheetData>
  <sheetProtection/>
  <mergeCells count="14">
    <mergeCell ref="AM5:AN5"/>
    <mergeCell ref="G5:H5"/>
    <mergeCell ref="AM2:AN2"/>
    <mergeCell ref="AM4:AN4"/>
    <mergeCell ref="G2:H2"/>
    <mergeCell ref="G4:H4"/>
    <mergeCell ref="A1:H1"/>
    <mergeCell ref="B10:G10"/>
    <mergeCell ref="B16:D16"/>
    <mergeCell ref="E16:E17"/>
    <mergeCell ref="F16:H16"/>
    <mergeCell ref="B14:H14"/>
    <mergeCell ref="B2:D2"/>
    <mergeCell ref="E2:F5"/>
  </mergeCells>
  <printOptions/>
  <pageMargins left="0.7874015748031497" right="0.15748031496062992" top="0.9055118110236221" bottom="0.6299212598425197" header="0.3937007874015748" footer="0.4724409448818898"/>
  <pageSetup horizontalDpi="300" verticalDpi="300" orientation="portrait" paperSize="9" r:id="rId4"/>
  <headerFooter alignWithMargins="0">
    <oddFooter>&amp;C&amp;6Milton Polizelli - &amp;F -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Milton Polizelli</dc:creator>
  <cp:keywords/>
  <dc:description/>
  <cp:lastModifiedBy>WINXP</cp:lastModifiedBy>
  <cp:lastPrinted>2008-03-12T14:24:20Z</cp:lastPrinted>
  <dcterms:created xsi:type="dcterms:W3CDTF">2003-07-02T19:49:06Z</dcterms:created>
  <dcterms:modified xsi:type="dcterms:W3CDTF">2008-04-11T20:04:41Z</dcterms:modified>
  <cp:category/>
  <cp:version/>
  <cp:contentType/>
  <cp:contentStatus/>
</cp:coreProperties>
</file>